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lockStructure="1"/>
  <bookViews>
    <workbookView xWindow="13440" yWindow="-15" windowWidth="14310" windowHeight="13545" tabRatio="796"/>
  </bookViews>
  <sheets>
    <sheet name="01_ALGEMEEN" sheetId="2" r:id="rId1"/>
    <sheet name="02_BG VLOER" sheetId="11" r:id="rId2"/>
    <sheet name="03_VERD VLOEREN" sheetId="3" r:id="rId3"/>
    <sheet name="04_LIGGERS" sheetId="4" r:id="rId4"/>
    <sheet name="05_VERT DRAAGSTRUCTUUR" sheetId="5" r:id="rId5"/>
    <sheet name="06_STABILITEIT" sheetId="6" r:id="rId6"/>
    <sheet name="07_FUNDERING" sheetId="7" r:id="rId7"/>
    <sheet name="08_NMD" sheetId="15" r:id="rId8"/>
    <sheet name="KEUZELIJSTEN" sheetId="16" r:id="rId9"/>
    <sheet name="AFBEELDINGEN" sheetId="13" r:id="rId10"/>
  </sheets>
  <externalReferences>
    <externalReference r:id="rId11"/>
  </externalReferences>
  <definedNames>
    <definedName name="_xlnm._FilterDatabase" localSheetId="3" hidden="1">'04_LIGGERS'!$AO$140:$AR$164</definedName>
    <definedName name="_xlnm.Print_Area" localSheetId="0">'01_ALGEMEEN'!$A$1:$I$337</definedName>
    <definedName name="diktevloer">'[1]Algemene invoer'!$W$42:$W$71</definedName>
    <definedName name="draagkracht">KEUZELIJSTEN!$Z$35:$Z$38</definedName>
    <definedName name="geendraagkracht">KEUZELIJSTEN!$AA$36</definedName>
    <definedName name="ihwgbeton">KEUZELIJSTEN!$K$50</definedName>
    <definedName name="kalkzandsteen">KEUZELIJSTEN!$K$45:$K$46</definedName>
    <definedName name="osgroep1">'03_VERD VLOEREN'!#REF!</definedName>
    <definedName name="osgroep2">'03_VERD VLOEREN'!$AL$2:$AL$21</definedName>
    <definedName name="osgroep3">'03_VERD VLOEREN'!#REF!</definedName>
    <definedName name="osgroep4">'03_VERD VLOEREN'!#REF!</definedName>
    <definedName name="osgroep5">'03_VERD VLOEREN'!#REF!</definedName>
    <definedName name="prefabbeton">KEUZELIJSTEN!$K$48</definedName>
    <definedName name="richting">KEUZELIJSTEN!$A$35:$A$36</definedName>
    <definedName name="vloer_d">'[1]Algemene invoer'!$AR$31:$AR$39</definedName>
    <definedName name="vloer_e">'[1]Algemene invoer'!$AS$31:$AS$39</definedName>
    <definedName name="vloer_f">'[1]Algemene invoer'!$AT$31:$AT$42</definedName>
    <definedName name="vloer_g">'[1]Algemene invoer'!$AU$31:$AU$40</definedName>
    <definedName name="vormvastevloeren">'[1]Vloeren (alle)'!$AG$30:$AG$33</definedName>
    <definedName name="vormvrijevloeren">'[1]Vloeren (alle)'!$AE$30:$AE$44</definedName>
  </definedNames>
  <calcPr calcId="145621"/>
</workbook>
</file>

<file path=xl/calcChain.xml><?xml version="1.0" encoding="utf-8"?>
<calcChain xmlns="http://schemas.openxmlformats.org/spreadsheetml/2006/main">
  <c r="Y29" i="3" l="1"/>
  <c r="D152" i="2"/>
  <c r="D265" i="2" l="1"/>
  <c r="D251" i="2"/>
  <c r="D264" i="2"/>
  <c r="D250" i="2"/>
  <c r="J19" i="4" l="1"/>
  <c r="AK233" i="3" l="1"/>
  <c r="AL233" i="3"/>
  <c r="AM233" i="3"/>
  <c r="AN233" i="3"/>
  <c r="AO233" i="3"/>
  <c r="AK234" i="3"/>
  <c r="AL234" i="3"/>
  <c r="AM234" i="3"/>
  <c r="AN234" i="3"/>
  <c r="AO234" i="3"/>
  <c r="AL232" i="3"/>
  <c r="AM232" i="3"/>
  <c r="AN232" i="3"/>
  <c r="AO232" i="3"/>
  <c r="AK232" i="3"/>
  <c r="AJ236" i="3"/>
  <c r="B272" i="2" l="1"/>
  <c r="E227" i="2"/>
  <c r="D201" i="2" l="1"/>
  <c r="D112" i="2"/>
  <c r="AV70" i="3" l="1"/>
  <c r="AV65" i="3"/>
  <c r="F15" i="2" l="1"/>
  <c r="F34" i="2" s="1"/>
  <c r="H20" i="2" l="1"/>
  <c r="D11" i="7"/>
  <c r="D243" i="2" l="1"/>
  <c r="D258" i="2"/>
  <c r="D257" i="2"/>
  <c r="D242" i="2"/>
  <c r="D328" i="2" l="1"/>
  <c r="E327" i="2"/>
  <c r="D327" i="2"/>
  <c r="C4" i="6"/>
  <c r="D14" i="7"/>
  <c r="AH34" i="5" l="1"/>
  <c r="AD32" i="5"/>
  <c r="X98" i="5" l="1"/>
  <c r="X97" i="5"/>
  <c r="X96" i="5"/>
  <c r="X95" i="5"/>
  <c r="X94" i="5"/>
  <c r="Y258" i="3"/>
  <c r="Z70" i="3"/>
  <c r="D174" i="2" l="1"/>
  <c r="D205" i="2"/>
  <c r="D219" i="2"/>
  <c r="D218" i="2"/>
  <c r="D8" i="7" l="1"/>
  <c r="D6" i="7"/>
  <c r="K29" i="6" l="1"/>
  <c r="AX40" i="4" l="1"/>
  <c r="AX39" i="4"/>
  <c r="AX38" i="4"/>
  <c r="AX37" i="4"/>
  <c r="AX36" i="4"/>
  <c r="AX35" i="4"/>
  <c r="AX33" i="4"/>
  <c r="AX32" i="4"/>
  <c r="AX31" i="4"/>
  <c r="AX30" i="4"/>
  <c r="AX29" i="4"/>
  <c r="AX28" i="4"/>
  <c r="AX27" i="4"/>
  <c r="AX26" i="4"/>
  <c r="AX25" i="4"/>
  <c r="AX24" i="4"/>
  <c r="AX23" i="4"/>
  <c r="AX22" i="4"/>
  <c r="AX21" i="4"/>
  <c r="AX20" i="4"/>
  <c r="AX19" i="4"/>
  <c r="AX18" i="4"/>
  <c r="AX17" i="4"/>
  <c r="AX16" i="4"/>
  <c r="AX15" i="4"/>
  <c r="AX14" i="4"/>
  <c r="AX13" i="4"/>
  <c r="AX12" i="4"/>
  <c r="AX11" i="4"/>
  <c r="AX10" i="4"/>
  <c r="AX9" i="4"/>
  <c r="AX8" i="4"/>
  <c r="AX7" i="4"/>
  <c r="AX6" i="4"/>
  <c r="H27" i="5" l="1"/>
  <c r="H22" i="5"/>
  <c r="H26" i="5"/>
  <c r="H25" i="5"/>
  <c r="H24" i="5"/>
  <c r="H23" i="5"/>
  <c r="H21" i="5"/>
  <c r="H20" i="5"/>
  <c r="H7" i="5" l="1"/>
  <c r="H8" i="5"/>
  <c r="D4" i="5" l="1"/>
  <c r="H6" i="5"/>
  <c r="H15" i="5"/>
  <c r="H14" i="5"/>
  <c r="H13" i="5"/>
  <c r="H12" i="5"/>
  <c r="AR98" i="4" l="1"/>
  <c r="AR97" i="4"/>
  <c r="AR96" i="4"/>
  <c r="AR95" i="4"/>
  <c r="AR94" i="4"/>
  <c r="AR93" i="4"/>
  <c r="AR92" i="4"/>
  <c r="AR91" i="4"/>
  <c r="AR90" i="4"/>
  <c r="AR89" i="4"/>
  <c r="AR88" i="4"/>
  <c r="AR87" i="4"/>
  <c r="AR115" i="4"/>
  <c r="AR114" i="4"/>
  <c r="AR113" i="4"/>
  <c r="AR112" i="4"/>
  <c r="AR111" i="4"/>
  <c r="AR110" i="4"/>
  <c r="AR109" i="4"/>
  <c r="AR108" i="4"/>
  <c r="AR107" i="4"/>
  <c r="AR106" i="4"/>
  <c r="AR105" i="4"/>
  <c r="AR104" i="4"/>
  <c r="V85" i="3" l="1"/>
  <c r="V86" i="3"/>
  <c r="V63" i="3" l="1"/>
  <c r="U63" i="3"/>
  <c r="U60" i="3"/>
  <c r="U61" i="3"/>
  <c r="V13" i="3"/>
  <c r="V18" i="3"/>
  <c r="V38" i="3"/>
  <c r="U38" i="3"/>
  <c r="V52" i="3"/>
  <c r="G24" i="3"/>
  <c r="U21" i="3"/>
  <c r="U22" i="3"/>
  <c r="U23" i="3"/>
  <c r="U24" i="3"/>
  <c r="U25" i="3"/>
  <c r="U26" i="3"/>
  <c r="U27" i="3"/>
  <c r="U28" i="3"/>
  <c r="U29" i="3"/>
  <c r="U30" i="3"/>
  <c r="U31" i="3"/>
  <c r="V31" i="3"/>
  <c r="U20" i="3"/>
  <c r="K108" i="2"/>
  <c r="L114" i="2"/>
  <c r="M114" i="2"/>
  <c r="K153" i="2"/>
  <c r="L159" i="2"/>
  <c r="M159" i="2"/>
  <c r="AT66" i="3"/>
  <c r="U33" i="3" s="1"/>
  <c r="AT67" i="3"/>
  <c r="U34" i="3" s="1"/>
  <c r="AT68" i="3"/>
  <c r="U35" i="3" s="1"/>
  <c r="AT69" i="3"/>
  <c r="U36" i="3" s="1"/>
  <c r="AT70" i="3"/>
  <c r="U37" i="3" s="1"/>
  <c r="AT65" i="3"/>
  <c r="U32" i="3" s="1"/>
  <c r="Z66" i="3"/>
  <c r="AA66" i="3"/>
  <c r="AB66" i="3"/>
  <c r="AC66" i="3"/>
  <c r="Z67" i="3"/>
  <c r="AA67" i="3"/>
  <c r="AB67" i="3"/>
  <c r="AC67" i="3"/>
  <c r="Z68" i="3"/>
  <c r="AA68" i="3"/>
  <c r="AB68" i="3"/>
  <c r="AC68" i="3"/>
  <c r="AD67" i="3"/>
  <c r="AD68" i="3"/>
  <c r="AD66" i="3"/>
  <c r="D208" i="2"/>
  <c r="D209" i="2" s="1"/>
  <c r="D196" i="2"/>
  <c r="D164" i="2"/>
  <c r="D165" i="2" s="1"/>
  <c r="D119" i="2"/>
  <c r="D120" i="2" s="1"/>
  <c r="D107" i="2"/>
  <c r="O114" i="2" l="1"/>
  <c r="D15" i="4" s="1"/>
  <c r="O159" i="2"/>
  <c r="AT115" i="4"/>
  <c r="AS115" i="4"/>
  <c r="AT98" i="4"/>
  <c r="AS98" i="4"/>
  <c r="AT81" i="4"/>
  <c r="AS81" i="4"/>
  <c r="AT52" i="4"/>
  <c r="AS52" i="4"/>
  <c r="AT23" i="4"/>
  <c r="AS23" i="4"/>
  <c r="AS113" i="4"/>
  <c r="AT113" i="4"/>
  <c r="AS114" i="4"/>
  <c r="AT114" i="4"/>
  <c r="AS116" i="4"/>
  <c r="AT116" i="4"/>
  <c r="AS92" i="4"/>
  <c r="AT92" i="4"/>
  <c r="AS93" i="4"/>
  <c r="AT93" i="4"/>
  <c r="AS94" i="4"/>
  <c r="AT94" i="4"/>
  <c r="AS95" i="4"/>
  <c r="AT95" i="4"/>
  <c r="AS96" i="4"/>
  <c r="AT96" i="4"/>
  <c r="AS97" i="4"/>
  <c r="AT97" i="4"/>
  <c r="AS99" i="4"/>
  <c r="AT99" i="4"/>
  <c r="AS87" i="4"/>
  <c r="AT87" i="4"/>
  <c r="AS88" i="4"/>
  <c r="AT88" i="4"/>
  <c r="AS89" i="4"/>
  <c r="AT89" i="4"/>
  <c r="AS90" i="4"/>
  <c r="AT90" i="4"/>
  <c r="AS91" i="4"/>
  <c r="AT91" i="4"/>
  <c r="AS105" i="4"/>
  <c r="AT105" i="4"/>
  <c r="AS106" i="4"/>
  <c r="AT106" i="4"/>
  <c r="AS107" i="4"/>
  <c r="AT107" i="4"/>
  <c r="AS108" i="4"/>
  <c r="AT108" i="4"/>
  <c r="AS109" i="4"/>
  <c r="AT109" i="4"/>
  <c r="AS110" i="4"/>
  <c r="AT110" i="4"/>
  <c r="AS111" i="4"/>
  <c r="AT111" i="4"/>
  <c r="AS112" i="4"/>
  <c r="AT112" i="4"/>
  <c r="AT104" i="4"/>
  <c r="AS104" i="4"/>
  <c r="AT24" i="4"/>
  <c r="AT7" i="4"/>
  <c r="AT8" i="4"/>
  <c r="AT9" i="4"/>
  <c r="AT10" i="4"/>
  <c r="AT11" i="4"/>
  <c r="AT12" i="4"/>
  <c r="AT13" i="4"/>
  <c r="AT14" i="4"/>
  <c r="AT15" i="4"/>
  <c r="AT16" i="4"/>
  <c r="AT17" i="4"/>
  <c r="AT18" i="4"/>
  <c r="AT19" i="4"/>
  <c r="AT20" i="4"/>
  <c r="AT21" i="4"/>
  <c r="AT22" i="4"/>
  <c r="AT6" i="4"/>
  <c r="AS7" i="4"/>
  <c r="AS8" i="4"/>
  <c r="AS9" i="4"/>
  <c r="AS10" i="4"/>
  <c r="AS11" i="4"/>
  <c r="AS12" i="4"/>
  <c r="AS13" i="4"/>
  <c r="AS14" i="4"/>
  <c r="AS15" i="4"/>
  <c r="AS16" i="4"/>
  <c r="AS17" i="4"/>
  <c r="AS18" i="4"/>
  <c r="AS19" i="4"/>
  <c r="AS20" i="4"/>
  <c r="AS21" i="4"/>
  <c r="AS22" i="4"/>
  <c r="AS24" i="4"/>
  <c r="AS6" i="4"/>
  <c r="AS38" i="4"/>
  <c r="AT38" i="4"/>
  <c r="AT68" i="4"/>
  <c r="AS68" i="4"/>
  <c r="AT67" i="4"/>
  <c r="AS67" i="4"/>
  <c r="AT66" i="4"/>
  <c r="AS66" i="4"/>
  <c r="AT65" i="4"/>
  <c r="AS65" i="4"/>
  <c r="AT64" i="4"/>
  <c r="AS64" i="4"/>
  <c r="AT61" i="4"/>
  <c r="AS61" i="4"/>
  <c r="AT60" i="4"/>
  <c r="AS60" i="4"/>
  <c r="AS62" i="4"/>
  <c r="AT62" i="4"/>
  <c r="AT82" i="4"/>
  <c r="AS82" i="4"/>
  <c r="AT80" i="4"/>
  <c r="AS80" i="4"/>
  <c r="AT79" i="4"/>
  <c r="AS79" i="4"/>
  <c r="AT78" i="4"/>
  <c r="AS78" i="4"/>
  <c r="AT77" i="4"/>
  <c r="AS77" i="4"/>
  <c r="AT76" i="4"/>
  <c r="AS76" i="4"/>
  <c r="AT75" i="4"/>
  <c r="AS75" i="4"/>
  <c r="AT74" i="4"/>
  <c r="AS74" i="4"/>
  <c r="AT73" i="4"/>
  <c r="AS73" i="4"/>
  <c r="AT72" i="4"/>
  <c r="AS72" i="4"/>
  <c r="AT71" i="4"/>
  <c r="AS71" i="4"/>
  <c r="AT70" i="4"/>
  <c r="AS70" i="4"/>
  <c r="AT69" i="4"/>
  <c r="AS69" i="4"/>
  <c r="AT63" i="4"/>
  <c r="AS63" i="4"/>
  <c r="AT59" i="4"/>
  <c r="AS59" i="4"/>
  <c r="AT58" i="4"/>
  <c r="AS58" i="4"/>
  <c r="U34" i="4"/>
  <c r="X34" i="4"/>
  <c r="AA34" i="4"/>
  <c r="AA8" i="4"/>
  <c r="X8" i="4"/>
  <c r="U8" i="4"/>
  <c r="F28" i="2"/>
  <c r="C212" i="2"/>
  <c r="C198" i="2"/>
  <c r="C168" i="2"/>
  <c r="C154" i="2"/>
  <c r="C123" i="2"/>
  <c r="C109" i="2"/>
  <c r="AK56" i="16"/>
  <c r="AK57" i="16" s="1"/>
  <c r="AK54" i="16"/>
  <c r="AK55" i="16" s="1"/>
  <c r="AD250" i="3"/>
  <c r="AC250" i="3"/>
  <c r="AB250" i="3"/>
  <c r="AA250" i="3"/>
  <c r="Z250" i="3"/>
  <c r="Y250" i="3"/>
  <c r="AD249" i="3"/>
  <c r="AC249" i="3"/>
  <c r="AB249" i="3"/>
  <c r="AA249" i="3"/>
  <c r="Z249" i="3"/>
  <c r="Y249" i="3"/>
  <c r="AD248" i="3"/>
  <c r="AC248" i="3"/>
  <c r="AB248" i="3"/>
  <c r="AA248" i="3"/>
  <c r="Y248" i="3"/>
  <c r="AB247" i="3"/>
  <c r="Y247" i="3"/>
  <c r="AO243" i="3"/>
  <c r="AN243" i="3"/>
  <c r="AM243" i="3"/>
  <c r="AL243" i="3"/>
  <c r="AK243" i="3"/>
  <c r="AJ243" i="3"/>
  <c r="AD243" i="3"/>
  <c r="AC243" i="3"/>
  <c r="AB243" i="3"/>
  <c r="AA243" i="3"/>
  <c r="Z243" i="3"/>
  <c r="Y243" i="3"/>
  <c r="AT241" i="3"/>
  <c r="AW241" i="3" s="1"/>
  <c r="AO242" i="3"/>
  <c r="AN242" i="3"/>
  <c r="AM242" i="3"/>
  <c r="AL242" i="3"/>
  <c r="AK242" i="3"/>
  <c r="AJ242" i="3"/>
  <c r="AD242" i="3"/>
  <c r="AC242" i="3"/>
  <c r="AB242" i="3"/>
  <c r="AA242" i="3"/>
  <c r="Z242" i="3"/>
  <c r="Y242" i="3"/>
  <c r="AT240" i="3"/>
  <c r="AW240" i="3" s="1"/>
  <c r="AJ241" i="3"/>
  <c r="AB241" i="3"/>
  <c r="Y241" i="3"/>
  <c r="AT239" i="3"/>
  <c r="AW239" i="3" s="1"/>
  <c r="AJ240" i="3"/>
  <c r="AB240" i="3"/>
  <c r="Y240" i="3"/>
  <c r="AO236" i="3"/>
  <c r="AN236" i="3"/>
  <c r="AM236" i="3"/>
  <c r="AL236" i="3"/>
  <c r="AK236" i="3"/>
  <c r="AO235" i="3"/>
  <c r="AN235" i="3"/>
  <c r="AM235" i="3"/>
  <c r="AL235" i="3"/>
  <c r="AK235" i="3"/>
  <c r="AJ235" i="3"/>
  <c r="AJ234" i="3"/>
  <c r="AJ233" i="3"/>
  <c r="E310" i="2" l="1"/>
  <c r="D4" i="7"/>
  <c r="F47" i="2"/>
  <c r="F41" i="2"/>
  <c r="D7" i="7" s="1"/>
  <c r="D5" i="7" l="1"/>
  <c r="D23" i="4"/>
  <c r="F51" i="2"/>
  <c r="E311" i="2"/>
  <c r="E312" i="2"/>
  <c r="G23" i="4"/>
  <c r="E313" i="2"/>
  <c r="J23" i="4"/>
  <c r="C19" i="5"/>
  <c r="C17" i="5"/>
  <c r="F52" i="2"/>
  <c r="C12" i="6" l="1"/>
  <c r="D52" i="2"/>
  <c r="E63" i="2"/>
  <c r="C70" i="3"/>
  <c r="N70" i="3" s="1"/>
  <c r="Q72" i="3"/>
  <c r="Q73" i="3"/>
  <c r="E74" i="3"/>
  <c r="G74" i="3"/>
  <c r="P74" i="3"/>
  <c r="Q74" i="3"/>
  <c r="M75" i="3"/>
  <c r="Q75" i="3"/>
  <c r="Q76" i="3"/>
  <c r="Q77" i="3"/>
  <c r="Q78" i="3"/>
  <c r="Q79" i="3"/>
  <c r="Q80" i="3"/>
  <c r="Q81" i="3"/>
  <c r="Q82" i="3"/>
  <c r="Q83" i="3"/>
  <c r="Q84" i="3"/>
  <c r="Q85" i="3"/>
  <c r="Q86" i="3"/>
  <c r="Q87" i="3"/>
  <c r="O70" i="3" l="1"/>
  <c r="M70" i="3"/>
  <c r="I70" i="3"/>
  <c r="Z102" i="3"/>
  <c r="AA102" i="3"/>
  <c r="AB102" i="3"/>
  <c r="AC102" i="3"/>
  <c r="AD102" i="3"/>
  <c r="Z103" i="3"/>
  <c r="AA103" i="3"/>
  <c r="AB103" i="3"/>
  <c r="AC103" i="3"/>
  <c r="AD103" i="3"/>
  <c r="AA101" i="3"/>
  <c r="AB101" i="3"/>
  <c r="AC101" i="3"/>
  <c r="AD101" i="3"/>
  <c r="Z101" i="3"/>
  <c r="V51" i="3" l="1"/>
  <c r="V50" i="3"/>
  <c r="V16" i="3"/>
  <c r="V17" i="3"/>
  <c r="V15" i="3"/>
  <c r="U59" i="3"/>
  <c r="U58" i="3"/>
  <c r="Y164" i="3" l="1"/>
  <c r="Z164" i="3"/>
  <c r="AA164" i="3"/>
  <c r="AB164" i="3"/>
  <c r="AC164" i="3"/>
  <c r="Y165" i="3"/>
  <c r="Z165" i="3"/>
  <c r="AA165" i="3"/>
  <c r="AB165" i="3"/>
  <c r="AC165" i="3"/>
  <c r="Y166" i="3"/>
  <c r="Z166" i="3"/>
  <c r="AA166" i="3"/>
  <c r="AB166" i="3"/>
  <c r="AC166" i="3"/>
  <c r="Y167" i="3"/>
  <c r="Z167" i="3"/>
  <c r="AA167" i="3"/>
  <c r="AB167" i="3"/>
  <c r="AC167" i="3"/>
  <c r="AD165" i="3"/>
  <c r="AD166" i="3"/>
  <c r="AD167" i="3"/>
  <c r="AD164" i="3"/>
  <c r="AL169" i="3"/>
  <c r="AL161" i="3"/>
  <c r="AL165" i="3"/>
  <c r="AQ167" i="3"/>
  <c r="AQ168" i="3"/>
  <c r="AQ169" i="3"/>
  <c r="AQ166" i="3"/>
  <c r="AQ163" i="3"/>
  <c r="AQ164" i="3"/>
  <c r="AQ165" i="3"/>
  <c r="AQ162" i="3"/>
  <c r="AQ159" i="3"/>
  <c r="AQ160" i="3"/>
  <c r="AQ161" i="3"/>
  <c r="AQ158" i="3"/>
  <c r="AS169" i="3"/>
  <c r="AS168" i="3"/>
  <c r="AS167" i="3"/>
  <c r="AS166" i="3"/>
  <c r="AS165" i="3"/>
  <c r="AS164" i="3"/>
  <c r="AS163" i="3"/>
  <c r="AS162" i="3"/>
  <c r="AS161" i="3"/>
  <c r="AS160" i="3"/>
  <c r="AS159" i="3"/>
  <c r="AS158" i="3"/>
  <c r="AL167" i="3"/>
  <c r="AN167" i="3" s="1"/>
  <c r="AL168" i="3"/>
  <c r="AN168" i="3" s="1"/>
  <c r="AN169" i="3"/>
  <c r="AL166" i="3"/>
  <c r="AN166" i="3" s="1"/>
  <c r="AL163" i="3"/>
  <c r="AN163" i="3" s="1"/>
  <c r="AL164" i="3"/>
  <c r="AN164" i="3" s="1"/>
  <c r="AN165" i="3"/>
  <c r="AL162" i="3"/>
  <c r="AN162" i="3" s="1"/>
  <c r="AN161" i="3"/>
  <c r="AL160" i="3"/>
  <c r="AN160" i="3" s="1"/>
  <c r="AL159" i="3"/>
  <c r="AN159" i="3" s="1"/>
  <c r="AL158" i="3"/>
  <c r="AN158" i="3" s="1"/>
  <c r="Q88" i="3"/>
  <c r="Q89" i="3"/>
  <c r="Q90" i="3"/>
  <c r="Q48" i="3"/>
  <c r="Q49" i="3"/>
  <c r="Q50" i="3"/>
  <c r="Q51" i="3"/>
  <c r="Q52" i="3"/>
  <c r="Q53" i="3"/>
  <c r="Q54" i="3"/>
  <c r="Q55" i="3"/>
  <c r="Q56" i="3"/>
  <c r="Q57" i="3"/>
  <c r="Q58" i="3"/>
  <c r="Q59" i="3"/>
  <c r="Q60" i="3"/>
  <c r="Q61" i="3"/>
  <c r="Q62" i="3"/>
  <c r="Q63" i="3"/>
  <c r="Q64" i="3"/>
  <c r="Q47" i="3"/>
  <c r="AL121" i="3"/>
  <c r="AM121" i="3"/>
  <c r="AN121" i="3"/>
  <c r="AL122" i="3"/>
  <c r="AM122" i="3"/>
  <c r="AN122" i="3"/>
  <c r="AM123" i="3"/>
  <c r="AN123" i="3"/>
  <c r="AM124" i="3"/>
  <c r="AN124" i="3"/>
  <c r="AO122" i="3"/>
  <c r="AO123" i="3"/>
  <c r="AO124" i="3"/>
  <c r="AO121" i="3"/>
  <c r="AM117" i="3"/>
  <c r="AN117" i="3"/>
  <c r="AO117" i="3"/>
  <c r="AM118" i="3"/>
  <c r="AN118" i="3"/>
  <c r="AO118" i="3"/>
  <c r="AM115" i="3"/>
  <c r="AN115" i="3"/>
  <c r="AO115" i="3"/>
  <c r="AM116" i="3"/>
  <c r="AN116" i="3"/>
  <c r="AO116" i="3"/>
  <c r="AL116" i="3"/>
  <c r="AL115" i="3"/>
  <c r="AK51" i="3" l="1"/>
  <c r="AL51" i="3"/>
  <c r="AM51" i="3"/>
  <c r="AN51" i="3"/>
  <c r="AK52" i="3"/>
  <c r="AL52" i="3"/>
  <c r="AM52" i="3"/>
  <c r="AN52" i="3"/>
  <c r="AK53" i="3"/>
  <c r="AL53" i="3"/>
  <c r="AM53" i="3"/>
  <c r="AN53" i="3"/>
  <c r="AK54" i="3"/>
  <c r="AL54" i="3"/>
  <c r="AM54" i="3"/>
  <c r="AN54" i="3"/>
  <c r="AO52" i="3"/>
  <c r="AO53" i="3"/>
  <c r="AO54" i="3"/>
  <c r="AO51" i="3"/>
  <c r="AT30" i="4" l="1"/>
  <c r="AT31" i="4"/>
  <c r="AT32" i="4"/>
  <c r="AT33" i="4"/>
  <c r="AT34" i="4"/>
  <c r="AT35" i="4"/>
  <c r="AT36" i="4"/>
  <c r="AT37" i="4"/>
  <c r="AT39" i="4"/>
  <c r="AT40" i="4"/>
  <c r="AT41" i="4"/>
  <c r="AT42" i="4"/>
  <c r="AT43" i="4"/>
  <c r="AT44" i="4"/>
  <c r="AT45" i="4"/>
  <c r="AT46" i="4"/>
  <c r="AT47" i="4"/>
  <c r="AT48" i="4"/>
  <c r="AT49" i="4"/>
  <c r="AT50" i="4"/>
  <c r="AT51" i="4"/>
  <c r="AT53" i="4"/>
  <c r="AT29" i="4"/>
  <c r="AS30" i="4"/>
  <c r="AS31" i="4"/>
  <c r="AS32" i="4"/>
  <c r="AS33" i="4"/>
  <c r="AS34" i="4"/>
  <c r="AS35" i="4"/>
  <c r="AS36" i="4"/>
  <c r="AS37" i="4"/>
  <c r="AS39" i="4"/>
  <c r="AS40" i="4"/>
  <c r="AS41" i="4"/>
  <c r="AS42" i="4"/>
  <c r="AS43" i="4"/>
  <c r="AS44" i="4"/>
  <c r="AS45" i="4"/>
  <c r="AS46" i="4"/>
  <c r="AS47" i="4"/>
  <c r="AS48" i="4"/>
  <c r="AS49" i="4"/>
  <c r="AS50" i="4"/>
  <c r="AS51" i="4"/>
  <c r="AS53" i="4"/>
  <c r="AS29" i="4"/>
  <c r="AJ24" i="3"/>
  <c r="AK24" i="3"/>
  <c r="AL24" i="3"/>
  <c r="AM24" i="3"/>
  <c r="AN24" i="3"/>
  <c r="AJ25" i="3"/>
  <c r="AK25" i="3"/>
  <c r="AL25" i="3"/>
  <c r="AM25" i="3"/>
  <c r="AN25" i="3"/>
  <c r="AJ26" i="3"/>
  <c r="AK26" i="3"/>
  <c r="AL26" i="3"/>
  <c r="AM26" i="3"/>
  <c r="AN26" i="3"/>
  <c r="AK23" i="3"/>
  <c r="AL23" i="3"/>
  <c r="AM23" i="3"/>
  <c r="AN23" i="3"/>
  <c r="AJ23" i="3"/>
  <c r="Y32" i="3"/>
  <c r="Z32" i="3"/>
  <c r="AA32" i="3"/>
  <c r="AB32" i="3"/>
  <c r="AC32" i="3"/>
  <c r="K11" i="6" l="1"/>
  <c r="D4" i="6"/>
  <c r="K4" i="6" s="1"/>
  <c r="K5" i="6" l="1"/>
  <c r="D34" i="7"/>
  <c r="D33" i="7"/>
  <c r="D32" i="7"/>
  <c r="D13" i="7"/>
  <c r="D12" i="7"/>
  <c r="H38" i="7" s="1"/>
  <c r="D3" i="7"/>
  <c r="D9" i="7"/>
  <c r="Y39" i="7" l="1"/>
  <c r="Z90" i="4" l="1"/>
  <c r="W90" i="4"/>
  <c r="T90" i="4"/>
  <c r="Z89" i="4"/>
  <c r="W89" i="4"/>
  <c r="T89" i="4"/>
  <c r="Z74" i="4"/>
  <c r="W74" i="4"/>
  <c r="T74" i="4"/>
  <c r="Z73" i="4"/>
  <c r="W73" i="4"/>
  <c r="T73" i="4"/>
  <c r="Z31" i="4" l="1"/>
  <c r="W31" i="4"/>
  <c r="T31" i="4"/>
  <c r="Z5" i="4"/>
  <c r="W5" i="4"/>
  <c r="T5" i="4"/>
  <c r="U5" i="4" s="1"/>
  <c r="AV11" i="4" l="1"/>
  <c r="BE11" i="4" s="1"/>
  <c r="AW11" i="4"/>
  <c r="BD11" i="4" s="1"/>
  <c r="AV16" i="4"/>
  <c r="BE16" i="4" s="1"/>
  <c r="AW16" i="4"/>
  <c r="BD16" i="4" s="1"/>
  <c r="AV21" i="4"/>
  <c r="BE21" i="4" s="1"/>
  <c r="AW21" i="4"/>
  <c r="BD21" i="4" s="1"/>
  <c r="AV26" i="4"/>
  <c r="BE26" i="4" s="1"/>
  <c r="AW26" i="4"/>
  <c r="BD26" i="4" s="1"/>
  <c r="AV30" i="4"/>
  <c r="BE30" i="4" s="1"/>
  <c r="AW30" i="4"/>
  <c r="BD30" i="4" s="1"/>
  <c r="AV35" i="4"/>
  <c r="BE35" i="4" s="1"/>
  <c r="AW35" i="4"/>
  <c r="BD35" i="4" s="1"/>
  <c r="AV7" i="4"/>
  <c r="BE7" i="4" s="1"/>
  <c r="AW7" i="4"/>
  <c r="BD7" i="4" s="1"/>
  <c r="AV12" i="4"/>
  <c r="BE12" i="4" s="1"/>
  <c r="AW12" i="4"/>
  <c r="BD12" i="4" s="1"/>
  <c r="AV17" i="4"/>
  <c r="BE17" i="4" s="1"/>
  <c r="AW17" i="4"/>
  <c r="BD17" i="4" s="1"/>
  <c r="AV22" i="4"/>
  <c r="BE22" i="4" s="1"/>
  <c r="AW22" i="4"/>
  <c r="BD22" i="4" s="1"/>
  <c r="AV27" i="4"/>
  <c r="BE27" i="4" s="1"/>
  <c r="AW27" i="4"/>
  <c r="BD27" i="4" s="1"/>
  <c r="AV31" i="4"/>
  <c r="BE31" i="4" s="1"/>
  <c r="AW31" i="4"/>
  <c r="BD31" i="4" s="1"/>
  <c r="AV37" i="4"/>
  <c r="BE37" i="4" s="1"/>
  <c r="AW37" i="4"/>
  <c r="BD37" i="4" s="1"/>
  <c r="AV8" i="4"/>
  <c r="BE8" i="4" s="1"/>
  <c r="AW8" i="4"/>
  <c r="BD8" i="4" s="1"/>
  <c r="AV13" i="4"/>
  <c r="BE13" i="4" s="1"/>
  <c r="AW13" i="4"/>
  <c r="BD13" i="4" s="1"/>
  <c r="AV18" i="4"/>
  <c r="BE18" i="4" s="1"/>
  <c r="AW18" i="4"/>
  <c r="BD18" i="4" s="1"/>
  <c r="AV23" i="4"/>
  <c r="BE23" i="4" s="1"/>
  <c r="AW23" i="4"/>
  <c r="BD23" i="4" s="1"/>
  <c r="AV28" i="4"/>
  <c r="BE28" i="4" s="1"/>
  <c r="AW28" i="4"/>
  <c r="BD28" i="4" s="1"/>
  <c r="AV32" i="4"/>
  <c r="BE32" i="4" s="1"/>
  <c r="AW32" i="4"/>
  <c r="BD32" i="4" s="1"/>
  <c r="AV38" i="4"/>
  <c r="BE38" i="4" s="1"/>
  <c r="AW38" i="4"/>
  <c r="BD38" i="4" s="1"/>
  <c r="AV9" i="4"/>
  <c r="BE9" i="4" s="1"/>
  <c r="AW9" i="4"/>
  <c r="BD9" i="4" s="1"/>
  <c r="AV14" i="4"/>
  <c r="BE14" i="4" s="1"/>
  <c r="AW14" i="4"/>
  <c r="BD14" i="4" s="1"/>
  <c r="AV19" i="4"/>
  <c r="BE19" i="4" s="1"/>
  <c r="AW19" i="4"/>
  <c r="BD19" i="4" s="1"/>
  <c r="AV24" i="4"/>
  <c r="BE24" i="4" s="1"/>
  <c r="AW24" i="4"/>
  <c r="BD24" i="4" s="1"/>
  <c r="AV29" i="4"/>
  <c r="BE29" i="4" s="1"/>
  <c r="AW29" i="4"/>
  <c r="BD29" i="4" s="1"/>
  <c r="AV33" i="4"/>
  <c r="BE33" i="4" s="1"/>
  <c r="AW33" i="4"/>
  <c r="BD33" i="4" s="1"/>
  <c r="AV39" i="4"/>
  <c r="BE39" i="4" s="1"/>
  <c r="AW39" i="4"/>
  <c r="BD39" i="4" s="1"/>
  <c r="AV10" i="4"/>
  <c r="BE10" i="4" s="1"/>
  <c r="AW10" i="4"/>
  <c r="BD10" i="4" s="1"/>
  <c r="AV15" i="4"/>
  <c r="BE15" i="4" s="1"/>
  <c r="AW15" i="4"/>
  <c r="BD15" i="4" s="1"/>
  <c r="AV20" i="4"/>
  <c r="BE20" i="4" s="1"/>
  <c r="AW20" i="4"/>
  <c r="BD20" i="4" s="1"/>
  <c r="AV25" i="4"/>
  <c r="BE25" i="4" s="1"/>
  <c r="AW25" i="4"/>
  <c r="BD25" i="4" s="1"/>
  <c r="AV36" i="4"/>
  <c r="BE36" i="4" s="1"/>
  <c r="AW36" i="4"/>
  <c r="BD36" i="4" s="1"/>
  <c r="AV40" i="4"/>
  <c r="BE40" i="4" s="1"/>
  <c r="AW40" i="4"/>
  <c r="BD40" i="4" s="1"/>
  <c r="AV6" i="4"/>
  <c r="BE6" i="4" s="1"/>
  <c r="AW6" i="4"/>
  <c r="BD6" i="4" s="1"/>
  <c r="BA11" i="4"/>
  <c r="BC11" i="4"/>
  <c r="BA16" i="4"/>
  <c r="BC16" i="4"/>
  <c r="BA21" i="4"/>
  <c r="BC21" i="4"/>
  <c r="BA26" i="4"/>
  <c r="BC26" i="4"/>
  <c r="BA30" i="4"/>
  <c r="BC30" i="4"/>
  <c r="BA35" i="4"/>
  <c r="BC35" i="4"/>
  <c r="BA7" i="4"/>
  <c r="BC7" i="4"/>
  <c r="BA12" i="4"/>
  <c r="BC12" i="4"/>
  <c r="BA17" i="4"/>
  <c r="BC17" i="4"/>
  <c r="BA22" i="4"/>
  <c r="BC22" i="4"/>
  <c r="BA27" i="4"/>
  <c r="BC27" i="4"/>
  <c r="BA31" i="4"/>
  <c r="BC31" i="4"/>
  <c r="BA37" i="4"/>
  <c r="BC37" i="4"/>
  <c r="BA8" i="4"/>
  <c r="BC8" i="4"/>
  <c r="BA13" i="4"/>
  <c r="BC13" i="4"/>
  <c r="BA18" i="4"/>
  <c r="BC18" i="4"/>
  <c r="BA23" i="4"/>
  <c r="BC23" i="4"/>
  <c r="BA28" i="4"/>
  <c r="BC28" i="4"/>
  <c r="BA32" i="4"/>
  <c r="BC32" i="4"/>
  <c r="BA38" i="4"/>
  <c r="BC38" i="4"/>
  <c r="BA9" i="4"/>
  <c r="BC9" i="4"/>
  <c r="BA14" i="4"/>
  <c r="BC14" i="4"/>
  <c r="BA19" i="4"/>
  <c r="BC19" i="4"/>
  <c r="BA24" i="4"/>
  <c r="BC24" i="4"/>
  <c r="BA29" i="4"/>
  <c r="BC29" i="4"/>
  <c r="BA33" i="4"/>
  <c r="BC33" i="4"/>
  <c r="BA39" i="4"/>
  <c r="BC39" i="4"/>
  <c r="BA10" i="4"/>
  <c r="BC10" i="4"/>
  <c r="BA15" i="4"/>
  <c r="BC15" i="4"/>
  <c r="BA20" i="4"/>
  <c r="BC20" i="4"/>
  <c r="BA25" i="4"/>
  <c r="BC25" i="4"/>
  <c r="BA36" i="4"/>
  <c r="BC36" i="4"/>
  <c r="BA40" i="4"/>
  <c r="BC40" i="4"/>
  <c r="BA6" i="4"/>
  <c r="BC6" i="4" s="1"/>
  <c r="H57" i="7" l="1"/>
  <c r="D56" i="7"/>
  <c r="D335" i="2" s="1"/>
  <c r="D55" i="7"/>
  <c r="D336" i="2" s="1"/>
  <c r="W10" i="7"/>
  <c r="W22" i="7"/>
  <c r="Q8" i="7" l="1"/>
  <c r="Q6" i="7"/>
  <c r="Q7" i="7"/>
  <c r="Q5" i="7"/>
  <c r="L6" i="7"/>
  <c r="L7" i="7"/>
  <c r="L8" i="7"/>
  <c r="L5" i="7"/>
  <c r="G41" i="7"/>
  <c r="G53" i="7"/>
  <c r="H45" i="7"/>
  <c r="H47" i="7" s="1"/>
  <c r="H61" i="7"/>
  <c r="H48" i="7" l="1"/>
  <c r="H60" i="7"/>
  <c r="C73" i="2"/>
  <c r="D10" i="7" l="1"/>
  <c r="D5" i="4"/>
  <c r="M8" i="4"/>
  <c r="M9" i="4"/>
  <c r="M10" i="4"/>
  <c r="M11" i="4"/>
  <c r="M4" i="4"/>
  <c r="M5" i="4"/>
  <c r="M6" i="4"/>
  <c r="M7" i="4"/>
  <c r="M3" i="4"/>
  <c r="I7" i="4"/>
  <c r="F7" i="4"/>
  <c r="C7" i="4"/>
  <c r="H5" i="5"/>
  <c r="H9" i="5"/>
  <c r="H10" i="5"/>
  <c r="H11" i="5"/>
  <c r="H16" i="5"/>
  <c r="H4" i="5"/>
  <c r="U73" i="4" l="1"/>
  <c r="X73" i="4"/>
  <c r="AA73" i="4"/>
  <c r="U74" i="4"/>
  <c r="X74" i="4"/>
  <c r="AA74" i="4"/>
  <c r="U89" i="4"/>
  <c r="X89" i="4"/>
  <c r="AA89" i="4"/>
  <c r="U90" i="4"/>
  <c r="X90" i="4"/>
  <c r="AA90" i="4"/>
  <c r="X5" i="4"/>
  <c r="X6" i="4"/>
  <c r="AA5" i="4"/>
  <c r="AA6" i="4"/>
  <c r="U31" i="4"/>
  <c r="U32" i="4"/>
  <c r="X31" i="4"/>
  <c r="X32" i="4"/>
  <c r="AA31" i="4"/>
  <c r="AA32" i="4"/>
  <c r="U6" i="4"/>
  <c r="G7" i="4"/>
  <c r="J7" i="4"/>
  <c r="D7" i="4"/>
  <c r="C44" i="6"/>
  <c r="C43" i="6"/>
  <c r="M25" i="3" l="1"/>
  <c r="J13" i="4"/>
  <c r="I11" i="4"/>
  <c r="I10" i="4"/>
  <c r="D13" i="4"/>
  <c r="G13" i="4"/>
  <c r="J12" i="4"/>
  <c r="AH8" i="4" s="1"/>
  <c r="G12" i="4"/>
  <c r="AG8" i="4" s="1"/>
  <c r="M204" i="2"/>
  <c r="L204" i="2"/>
  <c r="O204" i="2" s="1"/>
  <c r="K198" i="2"/>
  <c r="V80" i="3"/>
  <c r="V81" i="3"/>
  <c r="V82" i="3"/>
  <c r="V83" i="3"/>
  <c r="V84" i="3"/>
  <c r="V79" i="3"/>
  <c r="H50" i="4" l="1"/>
  <c r="H49" i="4"/>
  <c r="H45" i="4"/>
  <c r="H44" i="4"/>
  <c r="H43" i="4"/>
  <c r="H37" i="4"/>
  <c r="H36" i="4"/>
  <c r="H32" i="4"/>
  <c r="H31" i="4"/>
  <c r="H30" i="4"/>
  <c r="E50" i="4"/>
  <c r="E49" i="4"/>
  <c r="E45" i="4"/>
  <c r="E44" i="4"/>
  <c r="E43" i="4"/>
  <c r="E37" i="4"/>
  <c r="E36" i="4"/>
  <c r="K50" i="4"/>
  <c r="K49" i="4"/>
  <c r="K45" i="4"/>
  <c r="K44" i="4"/>
  <c r="K43" i="4"/>
  <c r="K37" i="4"/>
  <c r="K36" i="4"/>
  <c r="K32" i="4"/>
  <c r="K31" i="4"/>
  <c r="K30" i="4"/>
  <c r="E32" i="4"/>
  <c r="E31" i="4"/>
  <c r="E30" i="4"/>
  <c r="I12" i="4"/>
  <c r="J15" i="4"/>
  <c r="F12" i="4"/>
  <c r="G15" i="4"/>
  <c r="C12" i="4"/>
  <c r="G16" i="4" l="1"/>
  <c r="J16" i="4"/>
  <c r="J17" i="4" l="1"/>
  <c r="G17" i="4"/>
  <c r="D16" i="4"/>
  <c r="E24" i="3"/>
  <c r="P24" i="3"/>
  <c r="G36" i="4" l="1"/>
  <c r="G49" i="4"/>
  <c r="J49" i="4"/>
  <c r="J36" i="4"/>
  <c r="D17" i="4"/>
  <c r="AL208" i="3"/>
  <c r="D146" i="2"/>
  <c r="H146" i="2" s="1"/>
  <c r="G11" i="4" l="1"/>
  <c r="D49" i="4"/>
  <c r="D36" i="4"/>
  <c r="AG7" i="4" l="1"/>
  <c r="G19" i="4"/>
  <c r="X108" i="4"/>
  <c r="X111" i="4" s="1"/>
  <c r="E18" i="2"/>
  <c r="H32" i="2"/>
  <c r="N191" i="2"/>
  <c r="R191" i="2" s="1"/>
  <c r="L181" i="2"/>
  <c r="N181" i="2" s="1"/>
  <c r="N183" i="2" s="1"/>
  <c r="L78" i="2"/>
  <c r="L105" i="2"/>
  <c r="F42" i="2"/>
  <c r="F44" i="2" s="1"/>
  <c r="N142" i="2"/>
  <c r="N97" i="2"/>
  <c r="N70" i="2"/>
  <c r="N67" i="2"/>
  <c r="L65" i="2"/>
  <c r="N65" i="2" s="1"/>
  <c r="N69" i="2" s="1"/>
  <c r="N74" i="2" s="1"/>
  <c r="P74" i="2" s="1"/>
  <c r="S5" i="11" s="1"/>
  <c r="L64" i="2"/>
  <c r="N64" i="2" s="1"/>
  <c r="N66" i="2" s="1"/>
  <c r="L150" i="2"/>
  <c r="L137" i="2"/>
  <c r="L136" i="2"/>
  <c r="L135" i="2"/>
  <c r="L92" i="2"/>
  <c r="L91" i="2"/>
  <c r="L90" i="2"/>
  <c r="F48" i="2"/>
  <c r="H39" i="2"/>
  <c r="F35" i="2"/>
  <c r="P71" i="2" l="1"/>
  <c r="D89" i="2"/>
  <c r="D134" i="2"/>
  <c r="D44" i="3" s="1"/>
  <c r="D179" i="2"/>
  <c r="C15" i="6"/>
  <c r="P191" i="2"/>
  <c r="P188" i="2"/>
  <c r="N190" i="2"/>
  <c r="P190" i="2" s="1"/>
  <c r="P192" i="2" s="1"/>
  <c r="R74" i="2"/>
  <c r="Y37" i="7"/>
  <c r="AA38" i="7"/>
  <c r="AA37" i="7"/>
  <c r="C10" i="5" l="1"/>
  <c r="R192" i="2"/>
  <c r="N73" i="2"/>
  <c r="P73" i="2" s="1"/>
  <c r="S3" i="11" s="1"/>
  <c r="N68" i="2"/>
  <c r="P72" i="2" s="1"/>
  <c r="P75" i="2" l="1"/>
  <c r="P76" i="2" s="1"/>
  <c r="D20" i="7" s="1"/>
  <c r="R75" i="2"/>
  <c r="R76" i="2" s="1"/>
  <c r="D21" i="7" s="1"/>
  <c r="AM24" i="4" l="1"/>
  <c r="AL24" i="4"/>
  <c r="I8" i="4"/>
  <c r="F8" i="4"/>
  <c r="G20" i="4"/>
  <c r="D20" i="4"/>
  <c r="F11" i="4"/>
  <c r="F10" i="4"/>
  <c r="G4" i="4"/>
  <c r="G3" i="4"/>
  <c r="D4" i="4"/>
  <c r="D3" i="4"/>
  <c r="C11" i="4"/>
  <c r="W23" i="7" l="1"/>
  <c r="E335" i="2" s="1"/>
  <c r="J22" i="4"/>
  <c r="AA67" i="4" s="1"/>
  <c r="G22" i="4"/>
  <c r="X51" i="4" s="1"/>
  <c r="G21" i="4"/>
  <c r="J8" i="4"/>
  <c r="W11" i="7"/>
  <c r="G8" i="4"/>
  <c r="AL25" i="4"/>
  <c r="AM25" i="4"/>
  <c r="AS284" i="3"/>
  <c r="N137" i="2"/>
  <c r="N141" i="2" s="1"/>
  <c r="N146" i="2" s="1"/>
  <c r="N135" i="2"/>
  <c r="N92" i="2"/>
  <c r="N96" i="2" s="1"/>
  <c r="N91" i="2"/>
  <c r="N90" i="2"/>
  <c r="N136" i="2"/>
  <c r="D192" i="2"/>
  <c r="H192" i="2" s="1"/>
  <c r="F260" i="2"/>
  <c r="G10" i="4"/>
  <c r="X109" i="4" s="1"/>
  <c r="H21" i="2"/>
  <c r="E222" i="2"/>
  <c r="C74" i="2"/>
  <c r="C72" i="2"/>
  <c r="N93" i="2" l="1"/>
  <c r="X57" i="4"/>
  <c r="X59" i="4"/>
  <c r="X65" i="4"/>
  <c r="X67" i="4"/>
  <c r="AA51" i="4"/>
  <c r="AA65" i="4"/>
  <c r="X25" i="4"/>
  <c r="N138" i="2"/>
  <c r="R146" i="2"/>
  <c r="P146" i="2"/>
  <c r="F10" i="3" s="1"/>
  <c r="Y38" i="7"/>
  <c r="N101" i="2"/>
  <c r="W56" i="7"/>
  <c r="W24" i="7"/>
  <c r="E336" i="2"/>
  <c r="W57" i="7"/>
  <c r="W12" i="7"/>
  <c r="D10" i="4"/>
  <c r="J11" i="4"/>
  <c r="D11" i="4"/>
  <c r="D12" i="4"/>
  <c r="AF8" i="4" s="1"/>
  <c r="I9" i="3"/>
  <c r="I10" i="3"/>
  <c r="AA108" i="4" l="1"/>
  <c r="AA111" i="4" s="1"/>
  <c r="AH7" i="4"/>
  <c r="D21" i="4"/>
  <c r="AF7" i="4"/>
  <c r="U109" i="4"/>
  <c r="U108" i="4"/>
  <c r="U111" i="4" s="1"/>
  <c r="D22" i="4"/>
  <c r="U67" i="4" s="1"/>
  <c r="J10" i="4"/>
  <c r="AA109" i="4" s="1"/>
  <c r="D69" i="3"/>
  <c r="P101" i="2"/>
  <c r="R101" i="2"/>
  <c r="J21" i="4"/>
  <c r="D19" i="4"/>
  <c r="W14" i="7"/>
  <c r="W16" i="7" s="1"/>
  <c r="W15" i="7"/>
  <c r="W17" i="7" s="1"/>
  <c r="W26" i="7"/>
  <c r="W28" i="7" s="1"/>
  <c r="W27" i="7"/>
  <c r="W29" i="7" s="1"/>
  <c r="D19" i="3"/>
  <c r="N145" i="2"/>
  <c r="P145" i="2" s="1"/>
  <c r="R147" i="2" s="1"/>
  <c r="P143" i="2"/>
  <c r="V10" i="3"/>
  <c r="V11" i="3"/>
  <c r="V12" i="3"/>
  <c r="V9" i="3"/>
  <c r="AN210" i="3"/>
  <c r="AN204" i="3" s="1"/>
  <c r="AN209" i="3"/>
  <c r="AN203" i="3" s="1"/>
  <c r="AO211" i="3"/>
  <c r="AP210" i="3"/>
  <c r="AP204" i="3" s="1"/>
  <c r="AL202" i="3"/>
  <c r="AM208" i="3"/>
  <c r="AN208" i="3"/>
  <c r="AN202" i="3" s="1"/>
  <c r="AP208" i="3"/>
  <c r="AP202" i="3" s="1"/>
  <c r="AO209" i="3"/>
  <c r="AO203" i="3" s="1"/>
  <c r="AP205" i="3"/>
  <c r="AO205" i="3"/>
  <c r="AO204" i="3"/>
  <c r="AP203" i="3"/>
  <c r="AO202" i="3"/>
  <c r="AM202" i="3"/>
  <c r="AK202" i="3"/>
  <c r="AA57" i="4" l="1"/>
  <c r="AA59" i="4"/>
  <c r="U59" i="4"/>
  <c r="U25" i="4"/>
  <c r="AA25" i="4"/>
  <c r="U51" i="4"/>
  <c r="U65" i="4"/>
  <c r="U57" i="4"/>
  <c r="W32" i="7"/>
  <c r="D59" i="7" s="1"/>
  <c r="W31" i="7"/>
  <c r="D58" i="7" s="1"/>
  <c r="F8" i="3"/>
  <c r="P147" i="2"/>
  <c r="AO197" i="3"/>
  <c r="AN197" i="3"/>
  <c r="AN191" i="3" s="1"/>
  <c r="AM197" i="3"/>
  <c r="AM191" i="3" s="1"/>
  <c r="AO196" i="3"/>
  <c r="AO190" i="3" s="1"/>
  <c r="AN196" i="3"/>
  <c r="AN190" i="3" s="1"/>
  <c r="AM196" i="3"/>
  <c r="AM190" i="3" s="1"/>
  <c r="AL196" i="3"/>
  <c r="AL190" i="3" s="1"/>
  <c r="AO195" i="3"/>
  <c r="AO189" i="3" s="1"/>
  <c r="AN195" i="3"/>
  <c r="AN189" i="3" s="1"/>
  <c r="AM195" i="3"/>
  <c r="AM189" i="3" s="1"/>
  <c r="AL195" i="3"/>
  <c r="AL189" i="3" s="1"/>
  <c r="AP194" i="3"/>
  <c r="AP188" i="3" s="1"/>
  <c r="AN194" i="3"/>
  <c r="AN188" i="3" s="1"/>
  <c r="AM194" i="3"/>
  <c r="AM188" i="3" s="1"/>
  <c r="AL194" i="3"/>
  <c r="AL188" i="3" s="1"/>
  <c r="AP191" i="3"/>
  <c r="AO191" i="3"/>
  <c r="AP190" i="3"/>
  <c r="AP189" i="3"/>
  <c r="AO188" i="3"/>
  <c r="AP177" i="3" l="1"/>
  <c r="AP176" i="3"/>
  <c r="AP175" i="3"/>
  <c r="AO174" i="3"/>
  <c r="AL182" i="3"/>
  <c r="AL176" i="3" s="1"/>
  <c r="AL181" i="3"/>
  <c r="AL175" i="3" s="1"/>
  <c r="AL180" i="3"/>
  <c r="AL174" i="3" s="1"/>
  <c r="AM183" i="3"/>
  <c r="AM177" i="3" s="1"/>
  <c r="AM182" i="3"/>
  <c r="AM176" i="3" s="1"/>
  <c r="AM181" i="3"/>
  <c r="AM175" i="3" s="1"/>
  <c r="AM180" i="3"/>
  <c r="AM174" i="3" s="1"/>
  <c r="AN183" i="3"/>
  <c r="AN177" i="3" s="1"/>
  <c r="AN182" i="3"/>
  <c r="AN176" i="3" s="1"/>
  <c r="AN181" i="3"/>
  <c r="AN175" i="3" s="1"/>
  <c r="AN180" i="3"/>
  <c r="AN174" i="3" s="1"/>
  <c r="AO183" i="3"/>
  <c r="AO177" i="3" s="1"/>
  <c r="AO182" i="3"/>
  <c r="AO176" i="3" s="1"/>
  <c r="AO181" i="3"/>
  <c r="AO175" i="3" s="1"/>
  <c r="AP180" i="3"/>
  <c r="AP174" i="3" s="1"/>
  <c r="AQ18" i="3" l="1"/>
  <c r="AQ10" i="3" s="1"/>
  <c r="AP18" i="3"/>
  <c r="AP10" i="3" s="1"/>
  <c r="AO18" i="3"/>
  <c r="AO10" i="3" s="1"/>
  <c r="AN18" i="3"/>
  <c r="AN10" i="3" s="1"/>
  <c r="AM18" i="3"/>
  <c r="AM10" i="3" s="1"/>
  <c r="AL18" i="3"/>
  <c r="AL10" i="3" s="1"/>
  <c r="AQ17" i="3"/>
  <c r="AQ9" i="3" s="1"/>
  <c r="AP17" i="3"/>
  <c r="AP9" i="3" s="1"/>
  <c r="AO17" i="3"/>
  <c r="AO9" i="3" s="1"/>
  <c r="AN17" i="3"/>
  <c r="AN9" i="3" s="1"/>
  <c r="AM17" i="3"/>
  <c r="AM9" i="3" s="1"/>
  <c r="AL17" i="3"/>
  <c r="AK17" i="3"/>
  <c r="AK9" i="3" s="1"/>
  <c r="AQ16" i="3"/>
  <c r="AQ8" i="3" s="1"/>
  <c r="AP16" i="3"/>
  <c r="AP8" i="3" s="1"/>
  <c r="AO16" i="3"/>
  <c r="AO8" i="3" s="1"/>
  <c r="AN16" i="3"/>
  <c r="AN8" i="3" s="1"/>
  <c r="AM16" i="3"/>
  <c r="AM8" i="3" s="1"/>
  <c r="AK16" i="3"/>
  <c r="AK8" i="3" s="1"/>
  <c r="AM15" i="3"/>
  <c r="AM7" i="3" s="1"/>
  <c r="AN15" i="3"/>
  <c r="AN7" i="3" s="1"/>
  <c r="AL15" i="3"/>
  <c r="AL7" i="3" s="1"/>
  <c r="AL8" i="3"/>
  <c r="AL9" i="3"/>
  <c r="AK7" i="3"/>
  <c r="AO7" i="3"/>
  <c r="AP7" i="3"/>
  <c r="AQ7" i="3"/>
  <c r="P49" i="3" l="1"/>
  <c r="M50" i="3" l="1"/>
  <c r="G49" i="3"/>
  <c r="E49" i="3"/>
  <c r="L5" i="3" l="1"/>
  <c r="C7" i="5" l="1"/>
  <c r="C6" i="5"/>
  <c r="D77" i="2" l="1"/>
  <c r="D223" i="2" l="1"/>
  <c r="D177" i="2" l="1"/>
  <c r="C8" i="4" l="1"/>
  <c r="D8" i="4" l="1"/>
  <c r="D241" i="2" l="1"/>
  <c r="C3" i="6" s="1"/>
  <c r="C9" i="6"/>
  <c r="D9" i="6" l="1"/>
  <c r="C8" i="6"/>
  <c r="K26" i="6" s="1"/>
  <c r="L26" i="6" s="1"/>
  <c r="D244" i="2"/>
  <c r="C5" i="6"/>
  <c r="H251" i="2"/>
  <c r="D259" i="2"/>
  <c r="D15" i="7"/>
  <c r="W47" i="7"/>
  <c r="W48" i="7" s="1"/>
  <c r="D222" i="2"/>
  <c r="K12" i="6" l="1"/>
  <c r="K25" i="6"/>
  <c r="L25" i="6" s="1"/>
  <c r="K27" i="6" s="1"/>
  <c r="H21" i="7"/>
  <c r="M15" i="6"/>
  <c r="M16" i="6" s="1"/>
  <c r="D8" i="6"/>
  <c r="M4" i="6" s="1"/>
  <c r="M11" i="6"/>
  <c r="D5" i="6"/>
  <c r="K15" i="6" s="1"/>
  <c r="C4" i="5"/>
  <c r="C25" i="5" s="1"/>
  <c r="F226" i="2"/>
  <c r="D25" i="5" s="1"/>
  <c r="D225" i="2"/>
  <c r="D228" i="2"/>
  <c r="C28" i="5" l="1"/>
  <c r="M12" i="6"/>
  <c r="C32" i="5"/>
  <c r="C38" i="5"/>
  <c r="B26" i="5"/>
  <c r="C27" i="5" s="1"/>
  <c r="K16" i="6"/>
  <c r="M5" i="6"/>
  <c r="C47" i="5"/>
  <c r="C42" i="5"/>
  <c r="C74" i="5"/>
  <c r="E225" i="2"/>
  <c r="D38" i="5" s="1"/>
  <c r="K28" i="6"/>
  <c r="B39" i="5" l="1"/>
  <c r="C39" i="5" s="1"/>
  <c r="AI14" i="5"/>
  <c r="AI13" i="5"/>
  <c r="AI12" i="5"/>
  <c r="C43" i="5"/>
  <c r="C26" i="5"/>
  <c r="D256" i="2"/>
  <c r="C7" i="6" s="1"/>
  <c r="C41" i="5" l="1"/>
  <c r="C40" i="5"/>
  <c r="C11" i="5"/>
  <c r="C64" i="2" l="1"/>
  <c r="S6" i="7" l="1"/>
  <c r="S7" i="7"/>
  <c r="S8" i="7"/>
  <c r="S5" i="7"/>
  <c r="AV24" i="3" l="1"/>
  <c r="AV25" i="3"/>
  <c r="AV26" i="3"/>
  <c r="AV27" i="3"/>
  <c r="AV28" i="3"/>
  <c r="AV29" i="3"/>
  <c r="AV30" i="3"/>
  <c r="AV31" i="3"/>
  <c r="Z31" i="3" s="1"/>
  <c r="AV32" i="3"/>
  <c r="AV33" i="3"/>
  <c r="AV23" i="3"/>
  <c r="Y30" i="3" l="1"/>
  <c r="Y31" i="3"/>
  <c r="AA30" i="3"/>
  <c r="AA31" i="3"/>
  <c r="AB31" i="3"/>
  <c r="AC31" i="3"/>
  <c r="Z29" i="3"/>
  <c r="Z30" i="3"/>
  <c r="AA29" i="3"/>
  <c r="AB29" i="3"/>
  <c r="AC29" i="3"/>
  <c r="AB30" i="3"/>
  <c r="AC30" i="3"/>
  <c r="C12" i="5" l="1"/>
  <c r="AC11" i="5" s="1"/>
  <c r="C9" i="5"/>
  <c r="C8" i="5"/>
  <c r="C29" i="5" l="1"/>
  <c r="C44" i="5"/>
  <c r="C52" i="5"/>
  <c r="C34" i="5"/>
  <c r="AG29" i="5" l="1"/>
  <c r="AH29" i="5" s="1"/>
  <c r="AG30" i="5"/>
  <c r="AH30" i="5" s="1"/>
  <c r="AG31" i="5"/>
  <c r="AH31" i="5" s="1"/>
  <c r="AG32" i="5"/>
  <c r="AH32" i="5" s="1"/>
  <c r="AG28" i="5"/>
  <c r="AH28" i="5" s="1"/>
  <c r="C45" i="3" l="1"/>
  <c r="F9" i="3" s="1"/>
  <c r="F11" i="3" s="1"/>
  <c r="F13" i="3" s="1"/>
  <c r="C5" i="3"/>
  <c r="C4" i="3"/>
  <c r="C17" i="6"/>
  <c r="C19" i="6"/>
  <c r="G61" i="3" l="1"/>
  <c r="E61" i="3"/>
  <c r="F61" i="3"/>
  <c r="D50" i="3"/>
  <c r="D75" i="3"/>
  <c r="G48" i="3"/>
  <c r="D53" i="3"/>
  <c r="R53" i="3" s="1"/>
  <c r="E48" i="3"/>
  <c r="G64" i="3"/>
  <c r="F64" i="3"/>
  <c r="D64" i="3"/>
  <c r="R64" i="3" s="1"/>
  <c r="D61" i="3"/>
  <c r="R61" i="3" s="1"/>
  <c r="G60" i="3"/>
  <c r="F60" i="3"/>
  <c r="D60" i="3"/>
  <c r="R60" i="3" s="1"/>
  <c r="H59" i="3"/>
  <c r="F59" i="3"/>
  <c r="D59" i="3"/>
  <c r="R59" i="3" s="1"/>
  <c r="H58" i="3"/>
  <c r="F58" i="3"/>
  <c r="D58" i="3"/>
  <c r="R58" i="3" s="1"/>
  <c r="H57" i="3"/>
  <c r="F57" i="3"/>
  <c r="D57" i="3"/>
  <c r="R57" i="3" s="1"/>
  <c r="L56" i="3"/>
  <c r="D56" i="3"/>
  <c r="R56" i="3" s="1"/>
  <c r="L55" i="3"/>
  <c r="D55" i="3"/>
  <c r="R55" i="3" s="1"/>
  <c r="P54" i="3"/>
  <c r="E54" i="3"/>
  <c r="D54" i="3"/>
  <c r="R54" i="3" s="1"/>
  <c r="H53" i="3"/>
  <c r="F53" i="3"/>
  <c r="E53" i="3"/>
  <c r="N52" i="3"/>
  <c r="G52" i="3"/>
  <c r="F52" i="3"/>
  <c r="D52" i="3"/>
  <c r="R52" i="3" s="1"/>
  <c r="P51" i="3"/>
  <c r="E51" i="3"/>
  <c r="D51" i="3"/>
  <c r="R51" i="3" s="1"/>
  <c r="I49" i="3"/>
  <c r="D49" i="3"/>
  <c r="D48" i="3"/>
  <c r="R48" i="3" s="1"/>
  <c r="H47" i="3"/>
  <c r="P45" i="3"/>
  <c r="D144" i="2" s="1"/>
  <c r="H144" i="2" s="1"/>
  <c r="O45" i="3"/>
  <c r="N45" i="3"/>
  <c r="M45" i="3"/>
  <c r="I45" i="3"/>
  <c r="D143" i="2" s="1"/>
  <c r="H143" i="2" s="1"/>
  <c r="C20" i="3"/>
  <c r="Y225" i="3"/>
  <c r="Z225" i="3"/>
  <c r="AA225" i="3"/>
  <c r="Y224" i="3"/>
  <c r="Z224" i="3"/>
  <c r="AA224" i="3"/>
  <c r="Y223" i="3"/>
  <c r="Z223" i="3"/>
  <c r="AA223" i="3"/>
  <c r="Y222" i="3"/>
  <c r="Z222" i="3"/>
  <c r="AA222" i="3"/>
  <c r="Y143" i="3"/>
  <c r="BA142" i="3"/>
  <c r="AX142" i="3"/>
  <c r="AW141" i="3"/>
  <c r="AV141" i="3"/>
  <c r="AW137" i="3"/>
  <c r="AW136" i="3"/>
  <c r="BB132" i="3"/>
  <c r="BD132" i="3" s="1"/>
  <c r="AX131" i="3"/>
  <c r="BB130" i="3"/>
  <c r="BD130" i="3" s="1"/>
  <c r="AX129" i="3"/>
  <c r="E52" i="3"/>
  <c r="AX70" i="3"/>
  <c r="V37" i="3" s="1"/>
  <c r="AV69" i="3"/>
  <c r="AX69" i="3" s="1"/>
  <c r="V36" i="3" s="1"/>
  <c r="AV68" i="3"/>
  <c r="AX68" i="3" s="1"/>
  <c r="V35" i="3" s="1"/>
  <c r="AV67" i="3"/>
  <c r="AX67" i="3" s="1"/>
  <c r="V34" i="3" s="1"/>
  <c r="AV66" i="3"/>
  <c r="AX66" i="3" s="1"/>
  <c r="V33" i="3" s="1"/>
  <c r="AX65" i="3"/>
  <c r="V32" i="3" s="1"/>
  <c r="Y34" i="3"/>
  <c r="F74" i="3" s="1"/>
  <c r="AV16" i="3"/>
  <c r="AV15" i="3"/>
  <c r="AV14" i="3"/>
  <c r="AV13" i="3"/>
  <c r="L13" i="3"/>
  <c r="Q10" i="3" s="1"/>
  <c r="Q11" i="3" s="1"/>
  <c r="Q8" i="3"/>
  <c r="P8" i="3"/>
  <c r="AW92" i="3" s="1"/>
  <c r="O8" i="3"/>
  <c r="AV92" i="3" s="1"/>
  <c r="N8" i="3"/>
  <c r="M8" i="3"/>
  <c r="L8" i="3"/>
  <c r="Q7" i="3"/>
  <c r="P7" i="3"/>
  <c r="AW91" i="3" s="1"/>
  <c r="O7" i="3"/>
  <c r="N7" i="3"/>
  <c r="M7" i="3"/>
  <c r="L7" i="3"/>
  <c r="Q6" i="3"/>
  <c r="P6" i="3"/>
  <c r="O6" i="3"/>
  <c r="AV90" i="3" s="1"/>
  <c r="N6" i="3"/>
  <c r="M6" i="3"/>
  <c r="L6" i="3"/>
  <c r="Q5" i="3"/>
  <c r="P5" i="3"/>
  <c r="AW89" i="3" s="1"/>
  <c r="O5" i="3"/>
  <c r="N5" i="3"/>
  <c r="M5" i="3"/>
  <c r="R75" i="3" l="1"/>
  <c r="R50" i="3"/>
  <c r="L50" i="3"/>
  <c r="L75" i="3"/>
  <c r="C9" i="3"/>
  <c r="F24" i="3"/>
  <c r="D147" i="2"/>
  <c r="H147" i="2" s="1"/>
  <c r="D148" i="2"/>
  <c r="H148" i="2" s="1"/>
  <c r="E45" i="3"/>
  <c r="G45" i="3"/>
  <c r="M20" i="3"/>
  <c r="AW138" i="3"/>
  <c r="AX141" i="3"/>
  <c r="F49" i="3"/>
  <c r="AC34" i="3"/>
  <c r="AX132" i="3"/>
  <c r="AT89" i="3"/>
  <c r="AV89" i="3"/>
  <c r="AS90" i="3"/>
  <c r="AU90" i="3"/>
  <c r="AW90" i="3"/>
  <c r="AT91" i="3"/>
  <c r="AV91" i="3"/>
  <c r="AS92" i="3"/>
  <c r="AU92" i="3"/>
  <c r="BA141" i="3"/>
  <c r="AX143" i="3" s="1"/>
  <c r="AX144" i="3" s="1"/>
  <c r="AS89" i="3"/>
  <c r="AU89" i="3"/>
  <c r="AT90" i="3"/>
  <c r="AS91" i="3"/>
  <c r="AU91" i="3"/>
  <c r="AT92" i="3"/>
  <c r="D101" i="2" l="1"/>
  <c r="H101" i="2" s="1"/>
  <c r="D141" i="2"/>
  <c r="H141" i="2" s="1"/>
  <c r="D139" i="2"/>
  <c r="H139" i="2" s="1"/>
  <c r="AW24" i="3"/>
  <c r="AX24" i="3" s="1"/>
  <c r="V21" i="3" s="1"/>
  <c r="AW25" i="3"/>
  <c r="AX25" i="3" s="1"/>
  <c r="V22" i="3" s="1"/>
  <c r="AW26" i="3"/>
  <c r="AX26" i="3" s="1"/>
  <c r="V23" i="3" s="1"/>
  <c r="AW27" i="3"/>
  <c r="AX27" i="3" s="1"/>
  <c r="V24" i="3" s="1"/>
  <c r="R49" i="3" s="1"/>
  <c r="AW28" i="3"/>
  <c r="AX28" i="3" s="1"/>
  <c r="V25" i="3" s="1"/>
  <c r="AW29" i="3"/>
  <c r="AX29" i="3" s="1"/>
  <c r="V26" i="3" s="1"/>
  <c r="AW30" i="3"/>
  <c r="AX30" i="3" s="1"/>
  <c r="V27" i="3" s="1"/>
  <c r="AW31" i="3"/>
  <c r="AX31" i="3" s="1"/>
  <c r="V28" i="3" s="1"/>
  <c r="AW32" i="3"/>
  <c r="AX32" i="3" s="1"/>
  <c r="V29" i="3" s="1"/>
  <c r="AW33" i="3"/>
  <c r="AX33" i="3" s="1"/>
  <c r="V30" i="3" s="1"/>
  <c r="AW23" i="3"/>
  <c r="AX23" i="3" s="1"/>
  <c r="V20" i="3" s="1"/>
  <c r="BA143" i="3"/>
  <c r="BA144" i="3" s="1"/>
  <c r="H58" i="7" l="1"/>
  <c r="E32" i="7"/>
  <c r="C5" i="11"/>
  <c r="S2" i="11"/>
  <c r="T2" i="11"/>
  <c r="R3" i="11"/>
  <c r="T3" i="11"/>
  <c r="T4" i="11"/>
  <c r="R5" i="11"/>
  <c r="T5" i="11"/>
  <c r="R6" i="11"/>
  <c r="T6" i="11"/>
  <c r="R7" i="11"/>
  <c r="S7" i="11"/>
  <c r="T7" i="11"/>
  <c r="T8" i="11"/>
  <c r="C3" i="11"/>
  <c r="D48" i="7" s="1"/>
  <c r="M86" i="11"/>
  <c r="L86" i="11"/>
  <c r="M85" i="11"/>
  <c r="L85" i="11"/>
  <c r="M84" i="11"/>
  <c r="L84" i="11"/>
  <c r="M83" i="11"/>
  <c r="L83" i="11"/>
  <c r="G75" i="11"/>
  <c r="G74" i="11"/>
  <c r="H73" i="11"/>
  <c r="G73" i="11"/>
  <c r="H72" i="11"/>
  <c r="G72" i="11"/>
  <c r="H52" i="11"/>
  <c r="G52" i="11"/>
  <c r="H51" i="11"/>
  <c r="G51" i="11"/>
  <c r="H50" i="11"/>
  <c r="G50" i="11"/>
  <c r="H49" i="11"/>
  <c r="G49" i="11"/>
  <c r="H28" i="11"/>
  <c r="G28" i="11"/>
  <c r="H27" i="11"/>
  <c r="G27" i="11"/>
  <c r="H26" i="11"/>
  <c r="G26" i="11"/>
  <c r="H25" i="11"/>
  <c r="G25" i="11"/>
  <c r="D334" i="2" l="1"/>
  <c r="S4" i="11"/>
  <c r="S6" i="11" s="1"/>
  <c r="S8" i="11" s="1"/>
  <c r="D42" i="7" l="1"/>
  <c r="H63" i="7"/>
  <c r="H49" i="7"/>
  <c r="H62" i="7"/>
  <c r="H50" i="7"/>
  <c r="AG26" i="4" l="1"/>
  <c r="AJ30" i="4" l="1"/>
  <c r="AK30" i="4"/>
  <c r="AI30" i="4"/>
  <c r="AH29" i="4"/>
  <c r="AH30" i="4"/>
  <c r="AG29" i="4"/>
  <c r="AG30" i="4"/>
  <c r="AF28" i="4"/>
  <c r="AF29" i="4"/>
  <c r="AF30" i="4"/>
  <c r="AF27" i="4"/>
  <c r="AM30" i="4"/>
  <c r="AL30" i="4"/>
  <c r="AL26" i="4"/>
  <c r="AL28" i="4"/>
  <c r="AL27" i="4"/>
  <c r="AL29" i="4"/>
  <c r="AH26" i="4"/>
  <c r="AI27" i="4"/>
  <c r="AJ28" i="4"/>
  <c r="AI29" i="4"/>
  <c r="AI28" i="4"/>
  <c r="AK28" i="4"/>
  <c r="AH28" i="4"/>
  <c r="AK29" i="4"/>
  <c r="AK27" i="4"/>
  <c r="AJ29" i="4"/>
  <c r="AG27" i="4"/>
  <c r="AG28" i="4"/>
  <c r="AJ27" i="4"/>
  <c r="AH27" i="4"/>
  <c r="AK26" i="4"/>
  <c r="AJ26" i="4"/>
  <c r="AI26" i="4"/>
  <c r="AF26" i="4"/>
  <c r="C10" i="4" l="1"/>
  <c r="C20" i="6"/>
  <c r="C23" i="6" s="1"/>
  <c r="C18" i="6"/>
  <c r="C22" i="6" s="1"/>
  <c r="D43" i="7" l="1"/>
  <c r="D45" i="7" s="1"/>
  <c r="D72" i="2"/>
  <c r="D44" i="7" l="1"/>
  <c r="AM26" i="4"/>
  <c r="AM27" i="4"/>
  <c r="AM28" i="4"/>
  <c r="AM29" i="4"/>
  <c r="D74" i="2"/>
  <c r="H74" i="2" s="1"/>
  <c r="D73" i="2"/>
  <c r="H73" i="2" s="1"/>
  <c r="W39" i="7" l="1"/>
  <c r="P98" i="2" l="1"/>
  <c r="N100" i="2"/>
  <c r="P100" i="2" s="1"/>
  <c r="H26" i="2"/>
  <c r="E55" i="2" s="1"/>
  <c r="P102" i="2" l="1"/>
  <c r="R102" i="2"/>
  <c r="Y41" i="7" l="1"/>
  <c r="Y42" i="7" s="1"/>
  <c r="Y57" i="7" l="1"/>
  <c r="W61" i="7" s="1"/>
  <c r="W64" i="7" l="1"/>
  <c r="C10" i="3" l="1"/>
  <c r="C8" i="3" l="1"/>
  <c r="W38" i="7" s="1"/>
  <c r="W37" i="7" l="1"/>
  <c r="O54" i="3" l="1"/>
  <c r="C4" i="11"/>
  <c r="G7" i="11" s="1"/>
  <c r="H45" i="3" l="1"/>
  <c r="I8" i="3"/>
  <c r="I11" i="3" s="1"/>
  <c r="I13" i="3" s="1"/>
  <c r="L45" i="3"/>
  <c r="D145" i="2" s="1"/>
  <c r="H145" i="2" s="1"/>
  <c r="L5" i="11"/>
  <c r="G5" i="11"/>
  <c r="H4" i="11"/>
  <c r="G4" i="11"/>
  <c r="M4" i="11"/>
  <c r="K5" i="11"/>
  <c r="K6" i="11"/>
  <c r="K4" i="11"/>
  <c r="C10" i="11" s="1"/>
  <c r="H5" i="11"/>
  <c r="G6" i="11"/>
  <c r="I7" i="11"/>
  <c r="L4" i="11"/>
  <c r="J5" i="11"/>
  <c r="H6" i="11"/>
  <c r="L7" i="11"/>
  <c r="E86" i="3" l="1"/>
  <c r="G86" i="3"/>
  <c r="F86" i="3"/>
  <c r="G70" i="3"/>
  <c r="H72" i="3"/>
  <c r="D73" i="3"/>
  <c r="R73" i="3" s="1"/>
  <c r="E73" i="3"/>
  <c r="G73" i="3"/>
  <c r="D74" i="3"/>
  <c r="R74" i="3" s="1"/>
  <c r="I74" i="3"/>
  <c r="D76" i="3"/>
  <c r="R76" i="3" s="1"/>
  <c r="E76" i="3"/>
  <c r="P76" i="3"/>
  <c r="P70" i="3" s="1"/>
  <c r="D77" i="3"/>
  <c r="R77" i="3" s="1"/>
  <c r="E77" i="3"/>
  <c r="F77" i="3"/>
  <c r="G77" i="3"/>
  <c r="N77" i="3"/>
  <c r="D78" i="3"/>
  <c r="R78" i="3" s="1"/>
  <c r="E78" i="3"/>
  <c r="F78" i="3"/>
  <c r="H78" i="3"/>
  <c r="D79" i="3"/>
  <c r="R79" i="3" s="1"/>
  <c r="E79" i="3"/>
  <c r="P79" i="3"/>
  <c r="D80" i="3"/>
  <c r="R80" i="3" s="1"/>
  <c r="L80" i="3"/>
  <c r="D81" i="3"/>
  <c r="R81" i="3" s="1"/>
  <c r="L81" i="3"/>
  <c r="L70" i="3" s="1"/>
  <c r="D82" i="3"/>
  <c r="R82" i="3" s="1"/>
  <c r="F82" i="3"/>
  <c r="H82" i="3"/>
  <c r="D83" i="3"/>
  <c r="R83" i="3" s="1"/>
  <c r="F83" i="3"/>
  <c r="H83" i="3"/>
  <c r="D84" i="3"/>
  <c r="R84" i="3" s="1"/>
  <c r="F84" i="3"/>
  <c r="H84" i="3"/>
  <c r="D85" i="3"/>
  <c r="R85" i="3" s="1"/>
  <c r="F85" i="3"/>
  <c r="G85" i="3"/>
  <c r="D86" i="3"/>
  <c r="R86" i="3" s="1"/>
  <c r="D87" i="3"/>
  <c r="R87" i="3" s="1"/>
  <c r="I87" i="3"/>
  <c r="P87" i="3"/>
  <c r="D38" i="3"/>
  <c r="R38" i="3" s="1"/>
  <c r="D37" i="3"/>
  <c r="R37" i="3" s="1"/>
  <c r="D63" i="3"/>
  <c r="R63" i="3" s="1"/>
  <c r="D62" i="3"/>
  <c r="R62" i="3" s="1"/>
  <c r="C6" i="11"/>
  <c r="C7" i="11"/>
  <c r="D142" i="2"/>
  <c r="H142" i="2" s="1"/>
  <c r="C11" i="11"/>
  <c r="C8" i="11"/>
  <c r="D188" i="2"/>
  <c r="H188" i="2" s="1"/>
  <c r="E78" i="2"/>
  <c r="D310" i="2" s="1"/>
  <c r="E70" i="3" l="1"/>
  <c r="H70" i="3"/>
  <c r="D187" i="2" s="1"/>
  <c r="H187" i="2" s="1"/>
  <c r="O79" i="3"/>
  <c r="D81" i="2"/>
  <c r="D82" i="2"/>
  <c r="H82" i="2" s="1"/>
  <c r="D83" i="2"/>
  <c r="H83" i="2" s="1"/>
  <c r="D84" i="2"/>
  <c r="D189" i="2"/>
  <c r="H189" i="2" s="1"/>
  <c r="L77" i="2"/>
  <c r="L79" i="2" s="1"/>
  <c r="F29" i="2" s="1"/>
  <c r="F30" i="2" s="1"/>
  <c r="D191" i="2"/>
  <c r="H191" i="2" s="1"/>
  <c r="D190" i="2"/>
  <c r="H190" i="2" s="1"/>
  <c r="H84" i="2" l="1"/>
  <c r="H81" i="2"/>
  <c r="F54" i="2"/>
  <c r="H265" i="2" l="1"/>
  <c r="H250" i="2" l="1"/>
  <c r="H264" i="2"/>
  <c r="W41" i="7" l="1"/>
  <c r="W42" i="7" s="1"/>
  <c r="Y43" i="7" s="1"/>
  <c r="C11" i="3"/>
  <c r="C13" i="3" s="1"/>
  <c r="G36" i="3" s="1"/>
  <c r="E36" i="3" l="1"/>
  <c r="F36" i="3"/>
  <c r="G27" i="3"/>
  <c r="G20" i="3" s="1"/>
  <c r="G23" i="3"/>
  <c r="D25" i="3"/>
  <c r="D28" i="3"/>
  <c r="R28" i="3" s="1"/>
  <c r="E23" i="3"/>
  <c r="D23" i="3"/>
  <c r="R23" i="3" s="1"/>
  <c r="H22" i="3"/>
  <c r="D39" i="3"/>
  <c r="R39" i="3" s="1"/>
  <c r="D24" i="3"/>
  <c r="R24" i="3" s="1"/>
  <c r="I24" i="3"/>
  <c r="I20" i="3" s="1"/>
  <c r="E26" i="3"/>
  <c r="P26" i="3"/>
  <c r="E27" i="3"/>
  <c r="E20" i="3" s="1"/>
  <c r="F27" i="3"/>
  <c r="N27" i="3"/>
  <c r="N20" i="3" s="1"/>
  <c r="E28" i="3"/>
  <c r="F28" i="3"/>
  <c r="H28" i="3"/>
  <c r="E29" i="3"/>
  <c r="P29" i="3"/>
  <c r="L30" i="3"/>
  <c r="L31" i="3"/>
  <c r="F32" i="3"/>
  <c r="H32" i="3"/>
  <c r="F33" i="3"/>
  <c r="H33" i="3"/>
  <c r="F34" i="3"/>
  <c r="H34" i="3"/>
  <c r="F35" i="3"/>
  <c r="G35" i="3"/>
  <c r="F39" i="3"/>
  <c r="G39" i="3"/>
  <c r="D34" i="3"/>
  <c r="R34" i="3" s="1"/>
  <c r="D31" i="3"/>
  <c r="R31" i="3" s="1"/>
  <c r="D33" i="3"/>
  <c r="R33" i="3" s="1"/>
  <c r="D26" i="3"/>
  <c r="R26" i="3" s="1"/>
  <c r="D30" i="3"/>
  <c r="R30" i="3" s="1"/>
  <c r="D36" i="3"/>
  <c r="R36" i="3" s="1"/>
  <c r="D35" i="3"/>
  <c r="R35" i="3" s="1"/>
  <c r="D32" i="3"/>
  <c r="R32" i="3" s="1"/>
  <c r="D27" i="3"/>
  <c r="R27" i="3" s="1"/>
  <c r="D29" i="3"/>
  <c r="R29" i="3" s="1"/>
  <c r="H20" i="3"/>
  <c r="D97" i="2" l="1"/>
  <c r="H97" i="2" s="1"/>
  <c r="H293" i="2" s="1"/>
  <c r="D98" i="2"/>
  <c r="D102" i="2"/>
  <c r="H102" i="2" s="1"/>
  <c r="L25" i="3"/>
  <c r="R25" i="3"/>
  <c r="Q70" i="3"/>
  <c r="Q20" i="3"/>
  <c r="P20" i="3"/>
  <c r="Q45" i="3"/>
  <c r="D293" i="2"/>
  <c r="O29" i="3"/>
  <c r="O20" i="3" s="1"/>
  <c r="L20" i="3"/>
  <c r="D100" i="2" s="1"/>
  <c r="H98" i="2" l="1"/>
  <c r="D99" i="2"/>
  <c r="H99" i="2" s="1"/>
  <c r="D103" i="2"/>
  <c r="H103" i="2" s="1"/>
  <c r="H100" i="2"/>
  <c r="D184" i="2"/>
  <c r="H184" i="2" s="1"/>
  <c r="F89" i="3"/>
  <c r="G89" i="3"/>
  <c r="P88" i="3"/>
  <c r="D186" i="2"/>
  <c r="H186" i="2" s="1"/>
  <c r="D88" i="3"/>
  <c r="R88" i="3" s="1"/>
  <c r="D89" i="3"/>
  <c r="R89" i="3" s="1"/>
  <c r="F55" i="2"/>
  <c r="F15" i="3" s="1"/>
  <c r="D197" i="2" l="1"/>
  <c r="D153" i="2"/>
  <c r="D108" i="2"/>
  <c r="I15" i="3"/>
  <c r="D224" i="2"/>
  <c r="C15" i="3"/>
  <c r="D22" i="3" l="1"/>
  <c r="D47" i="3"/>
  <c r="D72" i="3"/>
  <c r="F72" i="3" s="1"/>
  <c r="K72" i="3" s="1"/>
  <c r="K70" i="3" s="1"/>
  <c r="F47" i="3"/>
  <c r="F45" i="3" s="1"/>
  <c r="D140" i="2" s="1"/>
  <c r="H140" i="2" s="1"/>
  <c r="J72" i="3"/>
  <c r="J70" i="3" s="1"/>
  <c r="R72" i="3"/>
  <c r="R70" i="3" s="1"/>
  <c r="N184" i="2" s="1"/>
  <c r="P193" i="2" s="1"/>
  <c r="D70" i="3"/>
  <c r="E180" i="2" s="1"/>
  <c r="F70" i="3"/>
  <c r="D185" i="2" s="1"/>
  <c r="H185" i="2" s="1"/>
  <c r="D20" i="3"/>
  <c r="E90" i="2" s="1"/>
  <c r="D311" i="2" s="1"/>
  <c r="R22" i="3"/>
  <c r="R20" i="3" s="1"/>
  <c r="N94" i="2" s="1"/>
  <c r="F22" i="3"/>
  <c r="F20" i="3" s="1"/>
  <c r="D95" i="2" s="1"/>
  <c r="R47" i="3" l="1"/>
  <c r="R45" i="3" s="1"/>
  <c r="N139" i="2" s="1"/>
  <c r="D45" i="3"/>
  <c r="E135" i="2" s="1"/>
  <c r="J47" i="3"/>
  <c r="J45" i="3" s="1"/>
  <c r="K47" i="3"/>
  <c r="K45" i="3" s="1"/>
  <c r="N185" i="2"/>
  <c r="P189" i="2" s="1"/>
  <c r="D29" i="7" s="1"/>
  <c r="H7" i="7" s="1"/>
  <c r="R193" i="2"/>
  <c r="H95" i="2"/>
  <c r="L104" i="2"/>
  <c r="L106" i="2" s="1"/>
  <c r="F36" i="2" s="1"/>
  <c r="D313" i="2"/>
  <c r="L194" i="2"/>
  <c r="L196" i="2" s="1"/>
  <c r="F49" i="2" s="1"/>
  <c r="P103" i="2"/>
  <c r="D23" i="7" s="1"/>
  <c r="R103" i="2"/>
  <c r="D24" i="7" s="1"/>
  <c r="H5" i="7" s="1"/>
  <c r="N95" i="2"/>
  <c r="P99" i="2" s="1"/>
  <c r="D28" i="4" s="1"/>
  <c r="D37" i="4" s="1"/>
  <c r="J41" i="4"/>
  <c r="J43" i="4" s="1"/>
  <c r="C20" i="5"/>
  <c r="K22" i="3"/>
  <c r="K20" i="3" s="1"/>
  <c r="J22" i="3"/>
  <c r="J20" i="3" s="1"/>
  <c r="D94" i="2" s="1"/>
  <c r="F37" i="2" l="1"/>
  <c r="C13" i="5" s="1"/>
  <c r="D312" i="2"/>
  <c r="L149" i="2"/>
  <c r="L151" i="2" s="1"/>
  <c r="P148" i="2"/>
  <c r="N140" i="2"/>
  <c r="P144" i="2" s="1"/>
  <c r="G28" i="4" s="1"/>
  <c r="R148" i="2"/>
  <c r="D27" i="7" s="1"/>
  <c r="H6" i="7" s="1"/>
  <c r="D96" i="2"/>
  <c r="H96" i="2" s="1"/>
  <c r="J28" i="4"/>
  <c r="J30" i="4" s="1"/>
  <c r="F53" i="2"/>
  <c r="D53" i="2" s="1"/>
  <c r="H94" i="2"/>
  <c r="J44" i="4"/>
  <c r="AE33" i="4"/>
  <c r="AL33" i="4" s="1"/>
  <c r="D32" i="4"/>
  <c r="D31" i="4"/>
  <c r="D30" i="4"/>
  <c r="J37" i="4"/>
  <c r="J32" i="4"/>
  <c r="J50" i="4"/>
  <c r="J51" i="4" s="1"/>
  <c r="J45" i="4"/>
  <c r="C16" i="5"/>
  <c r="H4" i="7"/>
  <c r="D41" i="4"/>
  <c r="L20" i="5" l="1"/>
  <c r="L26" i="5"/>
  <c r="L27" i="5"/>
  <c r="L25" i="5"/>
  <c r="L24" i="5"/>
  <c r="L23" i="5"/>
  <c r="L22" i="5"/>
  <c r="L21" i="5"/>
  <c r="G31" i="4"/>
  <c r="G30" i="4"/>
  <c r="G37" i="4"/>
  <c r="G32" i="4"/>
  <c r="D26" i="7"/>
  <c r="G41" i="4"/>
  <c r="C18" i="5"/>
  <c r="C21" i="5" s="1"/>
  <c r="C33" i="5" s="1"/>
  <c r="C30" i="5"/>
  <c r="C31" i="5" s="1"/>
  <c r="J31" i="4"/>
  <c r="AA16" i="4" s="1"/>
  <c r="Z18" i="4" s="1"/>
  <c r="AB18" i="4" s="1"/>
  <c r="J46" i="4"/>
  <c r="AA106" i="4" s="1"/>
  <c r="AA112" i="4" s="1"/>
  <c r="AA113" i="4" s="1"/>
  <c r="Z114" i="4" s="1"/>
  <c r="AA115" i="4" s="1"/>
  <c r="C45" i="5"/>
  <c r="C46" i="5" s="1"/>
  <c r="W49" i="7"/>
  <c r="AA78" i="4"/>
  <c r="Z79" i="4" s="1"/>
  <c r="AB79" i="4" s="1"/>
  <c r="C13" i="6"/>
  <c r="E329" i="2" s="1"/>
  <c r="AF33" i="4"/>
  <c r="AG33" i="4"/>
  <c r="AH33" i="4"/>
  <c r="AI33" i="4"/>
  <c r="AK33" i="4"/>
  <c r="AJ33" i="4"/>
  <c r="AM33" i="4"/>
  <c r="AK34" i="5"/>
  <c r="C90" i="5" s="1"/>
  <c r="C49" i="5"/>
  <c r="D43" i="4"/>
  <c r="D33" i="4"/>
  <c r="J33" i="4"/>
  <c r="U78" i="4"/>
  <c r="T79" i="4" s="1"/>
  <c r="V79" i="4" s="1"/>
  <c r="U16" i="4"/>
  <c r="T21" i="4" s="1"/>
  <c r="V21" i="4" s="1"/>
  <c r="AA114" i="4"/>
  <c r="AA107" i="4"/>
  <c r="AA117" i="4" s="1"/>
  <c r="AA118" i="4" s="1"/>
  <c r="Z119" i="4" s="1"/>
  <c r="AA120" i="4" s="1"/>
  <c r="H8" i="7"/>
  <c r="H14" i="7" s="1"/>
  <c r="H17" i="7" s="1"/>
  <c r="C48" i="5"/>
  <c r="D50" i="4"/>
  <c r="D51" i="4" s="1"/>
  <c r="D45" i="4"/>
  <c r="U42" i="4"/>
  <c r="U94" i="4"/>
  <c r="T95" i="4" s="1"/>
  <c r="V95" i="4" s="1"/>
  <c r="D38" i="4"/>
  <c r="AA76" i="4"/>
  <c r="Z77" i="4" s="1"/>
  <c r="AB77" i="4" s="1"/>
  <c r="AB81" i="4" s="1"/>
  <c r="Z81" i="4" s="1"/>
  <c r="AA9" i="4"/>
  <c r="AA35" i="4"/>
  <c r="AA92" i="4"/>
  <c r="Z93" i="4" s="1"/>
  <c r="AB93" i="4" s="1"/>
  <c r="AA42" i="4"/>
  <c r="AA94" i="4"/>
  <c r="Z95" i="4" s="1"/>
  <c r="AB95" i="4" s="1"/>
  <c r="J38" i="4"/>
  <c r="D44" i="4"/>
  <c r="AE31" i="4"/>
  <c r="AF31" i="4" s="1"/>
  <c r="G44" i="4" l="1"/>
  <c r="G43" i="4"/>
  <c r="G50" i="4"/>
  <c r="G51" i="4" s="1"/>
  <c r="G45" i="4"/>
  <c r="AE32" i="4"/>
  <c r="X78" i="4"/>
  <c r="W79" i="4" s="1"/>
  <c r="Y79" i="4" s="1"/>
  <c r="X16" i="4"/>
  <c r="G33" i="4"/>
  <c r="G38" i="4"/>
  <c r="X94" i="4"/>
  <c r="W95" i="4" s="1"/>
  <c r="Y95" i="4" s="1"/>
  <c r="X42" i="4"/>
  <c r="AK31" i="5"/>
  <c r="Z20" i="4"/>
  <c r="AB20" i="4" s="1"/>
  <c r="Z21" i="4"/>
  <c r="Z22" i="4"/>
  <c r="AB22" i="4" s="1"/>
  <c r="AK29" i="5"/>
  <c r="AK30" i="5"/>
  <c r="AK32" i="5"/>
  <c r="AC15" i="5"/>
  <c r="AK28" i="5"/>
  <c r="C14" i="6"/>
  <c r="C26" i="6" s="1"/>
  <c r="C29" i="6" s="1"/>
  <c r="C31" i="6" s="1"/>
  <c r="M6" i="6" s="1"/>
  <c r="D330" i="2" s="1"/>
  <c r="C48" i="6"/>
  <c r="T33" i="6" s="1"/>
  <c r="Z19" i="4"/>
  <c r="AB19" i="4" s="1"/>
  <c r="E324" i="2"/>
  <c r="E330" i="2"/>
  <c r="AA121" i="4"/>
  <c r="D46" i="4"/>
  <c r="U9" i="4" s="1"/>
  <c r="T11" i="4" s="1"/>
  <c r="C22" i="5"/>
  <c r="T18" i="4"/>
  <c r="V18" i="4" s="1"/>
  <c r="T22" i="4"/>
  <c r="V22" i="4" s="1"/>
  <c r="T20" i="4"/>
  <c r="V20" i="4" s="1"/>
  <c r="T19" i="4"/>
  <c r="V19" i="4" s="1"/>
  <c r="AA119" i="4"/>
  <c r="U107" i="4"/>
  <c r="U117" i="4" s="1"/>
  <c r="U118" i="4" s="1"/>
  <c r="T119" i="4" s="1"/>
  <c r="D16" i="7"/>
  <c r="AA82" i="4"/>
  <c r="AA84" i="4" s="1"/>
  <c r="AA85" i="4" s="1"/>
  <c r="C35" i="5"/>
  <c r="P5" i="5" s="1"/>
  <c r="C50" i="5"/>
  <c r="T48" i="4"/>
  <c r="V48" i="4" s="1"/>
  <c r="T47" i="4"/>
  <c r="V47" i="4" s="1"/>
  <c r="T46" i="4"/>
  <c r="V46" i="4" s="1"/>
  <c r="T45" i="4"/>
  <c r="V45" i="4" s="1"/>
  <c r="T44" i="4"/>
  <c r="U35" i="4"/>
  <c r="U92" i="4"/>
  <c r="T93" i="4" s="1"/>
  <c r="V93" i="4" s="1"/>
  <c r="V97" i="4" s="1"/>
  <c r="T97" i="4" s="1"/>
  <c r="Z48" i="4"/>
  <c r="AB48" i="4" s="1"/>
  <c r="Z47" i="4"/>
  <c r="Z46" i="4"/>
  <c r="AB46" i="4" s="1"/>
  <c r="Z45" i="4"/>
  <c r="AB45" i="4" s="1"/>
  <c r="Z44" i="4"/>
  <c r="AB44" i="4" s="1"/>
  <c r="Z41" i="4"/>
  <c r="AB41" i="4" s="1"/>
  <c r="Z40" i="4"/>
  <c r="Z39" i="4"/>
  <c r="AB39" i="4" s="1"/>
  <c r="Z38" i="4"/>
  <c r="AB38" i="4" s="1"/>
  <c r="Z37" i="4"/>
  <c r="AB37" i="4" s="1"/>
  <c r="Z15" i="4"/>
  <c r="AB15" i="4" s="1"/>
  <c r="Z14" i="4"/>
  <c r="Z13" i="4"/>
  <c r="AB13" i="4" s="1"/>
  <c r="Z12" i="4"/>
  <c r="AB12" i="4" s="1"/>
  <c r="Z11" i="4"/>
  <c r="AB11" i="4" s="1"/>
  <c r="AB21" i="4"/>
  <c r="Z17" i="4"/>
  <c r="AB17" i="4" s="1"/>
  <c r="AB97" i="4"/>
  <c r="Z97" i="4" s="1"/>
  <c r="AL31" i="4"/>
  <c r="AM31" i="4"/>
  <c r="AJ31" i="4"/>
  <c r="AK31" i="4"/>
  <c r="AI31" i="4"/>
  <c r="AH31" i="4"/>
  <c r="AG31" i="4"/>
  <c r="AA66" i="4"/>
  <c r="AA58" i="4"/>
  <c r="W48" i="4" l="1"/>
  <c r="Y48" i="4" s="1"/>
  <c r="W47" i="4"/>
  <c r="W46" i="4"/>
  <c r="Y46" i="4" s="1"/>
  <c r="W45" i="4"/>
  <c r="Y45" i="4" s="1"/>
  <c r="W44" i="4"/>
  <c r="Y44" i="4" s="1"/>
  <c r="W22" i="4"/>
  <c r="Y22" i="4" s="1"/>
  <c r="W21" i="4"/>
  <c r="W20" i="4"/>
  <c r="Y20" i="4" s="1"/>
  <c r="W19" i="4"/>
  <c r="Y19" i="4" s="1"/>
  <c r="W18" i="4"/>
  <c r="Y18" i="4" s="1"/>
  <c r="AG32" i="4"/>
  <c r="AJ32" i="4"/>
  <c r="AF32" i="4"/>
  <c r="AH32" i="4"/>
  <c r="AL32" i="4"/>
  <c r="X66" i="4" s="1"/>
  <c r="AM32" i="4"/>
  <c r="X58" i="4" s="1"/>
  <c r="X60" i="4" s="1"/>
  <c r="X61" i="4" s="1"/>
  <c r="D157" i="2" s="1"/>
  <c r="AK32" i="4"/>
  <c r="AI32" i="4"/>
  <c r="G46" i="4"/>
  <c r="X107" i="4"/>
  <c r="X117" i="4" s="1"/>
  <c r="X118" i="4" s="1"/>
  <c r="W119" i="4" s="1"/>
  <c r="X92" i="4"/>
  <c r="W93" i="4" s="1"/>
  <c r="Y93" i="4" s="1"/>
  <c r="Y97" i="4" s="1"/>
  <c r="W97" i="4" s="1"/>
  <c r="X98" i="4" s="1"/>
  <c r="X100" i="4" s="1"/>
  <c r="X101" i="4" s="1"/>
  <c r="X35" i="4"/>
  <c r="M7" i="6"/>
  <c r="C59" i="6" s="1"/>
  <c r="D266" i="2" s="1"/>
  <c r="H266" i="2" s="1"/>
  <c r="Q33" i="6"/>
  <c r="O33" i="6"/>
  <c r="N33" i="6"/>
  <c r="M33" i="6"/>
  <c r="S33" i="6"/>
  <c r="L33" i="6"/>
  <c r="K33" i="6"/>
  <c r="R33" i="6"/>
  <c r="P33" i="6"/>
  <c r="U66" i="4"/>
  <c r="U68" i="4" s="1"/>
  <c r="U69" i="4" s="1"/>
  <c r="D126" i="2" s="1"/>
  <c r="H126" i="2" s="1"/>
  <c r="T17" i="4"/>
  <c r="V17" i="4" s="1"/>
  <c r="C33" i="6"/>
  <c r="K32" i="6" s="1"/>
  <c r="C32" i="6"/>
  <c r="K13" i="6" s="1"/>
  <c r="K17" i="6" s="1"/>
  <c r="C30" i="6"/>
  <c r="K6" i="6" s="1"/>
  <c r="D329" i="2" s="1"/>
  <c r="U106" i="4"/>
  <c r="U112" i="4" s="1"/>
  <c r="U113" i="4" s="1"/>
  <c r="T114" i="4" s="1"/>
  <c r="U115" i="4" s="1"/>
  <c r="U76" i="4"/>
  <c r="T77" i="4" s="1"/>
  <c r="C53" i="5"/>
  <c r="AC4" i="5" s="1"/>
  <c r="AC6" i="5" s="1"/>
  <c r="AE6" i="5" s="1"/>
  <c r="H201" i="2"/>
  <c r="AA60" i="4"/>
  <c r="AA61" i="4" s="1"/>
  <c r="X68" i="4"/>
  <c r="X69" i="4" s="1"/>
  <c r="D171" i="2" s="1"/>
  <c r="H171" i="2" s="1"/>
  <c r="AA68" i="4"/>
  <c r="AA69" i="4" s="1"/>
  <c r="D215" i="2" s="1"/>
  <c r="H215" i="2" s="1"/>
  <c r="Q20" i="5"/>
  <c r="P20" i="5" s="1"/>
  <c r="Q27" i="5"/>
  <c r="P27" i="5" s="1"/>
  <c r="Q26" i="5"/>
  <c r="P26" i="5" s="1"/>
  <c r="T14" i="4"/>
  <c r="V14" i="4" s="1"/>
  <c r="H157" i="2"/>
  <c r="U120" i="4"/>
  <c r="U119" i="4"/>
  <c r="D235" i="2"/>
  <c r="U98" i="4"/>
  <c r="U100" i="4" s="1"/>
  <c r="U101" i="4" s="1"/>
  <c r="AA98" i="4"/>
  <c r="AA100" i="4" s="1"/>
  <c r="AA101" i="4" s="1"/>
  <c r="T41" i="4"/>
  <c r="V41" i="4" s="1"/>
  <c r="T40" i="4"/>
  <c r="V40" i="4" s="1"/>
  <c r="T39" i="4"/>
  <c r="V39" i="4" s="1"/>
  <c r="T38" i="4"/>
  <c r="V38" i="4" s="1"/>
  <c r="T37" i="4"/>
  <c r="V44" i="4"/>
  <c r="T43" i="4"/>
  <c r="V43" i="4" s="1"/>
  <c r="P8" i="5"/>
  <c r="P9" i="5" s="1"/>
  <c r="S5" i="5"/>
  <c r="U58" i="4"/>
  <c r="AB14" i="4"/>
  <c r="Z10" i="4"/>
  <c r="AB10" i="4" s="1"/>
  <c r="AB23" i="4" s="1"/>
  <c r="Z23" i="4" s="1"/>
  <c r="I55" i="4" s="1"/>
  <c r="AB40" i="4"/>
  <c r="Z36" i="4"/>
  <c r="AB36" i="4" s="1"/>
  <c r="AB47" i="4"/>
  <c r="Z43" i="4"/>
  <c r="AB43" i="4" s="1"/>
  <c r="T15" i="4"/>
  <c r="V15" i="4" s="1"/>
  <c r="T13" i="4"/>
  <c r="V13" i="4" s="1"/>
  <c r="V11" i="4"/>
  <c r="W41" i="4" l="1"/>
  <c r="Y41" i="4" s="1"/>
  <c r="W40" i="4"/>
  <c r="W39" i="4"/>
  <c r="Y39" i="4" s="1"/>
  <c r="W38" i="4"/>
  <c r="Y38" i="4" s="1"/>
  <c r="W37" i="4"/>
  <c r="Y37" i="4" s="1"/>
  <c r="X120" i="4"/>
  <c r="X119" i="4"/>
  <c r="X106" i="4"/>
  <c r="X112" i="4" s="1"/>
  <c r="X113" i="4" s="1"/>
  <c r="W114" i="4" s="1"/>
  <c r="X76" i="4"/>
  <c r="W77" i="4" s="1"/>
  <c r="Y77" i="4" s="1"/>
  <c r="Y81" i="4" s="1"/>
  <c r="W81" i="4" s="1"/>
  <c r="X82" i="4" s="1"/>
  <c r="X84" i="4" s="1"/>
  <c r="X85" i="4" s="1"/>
  <c r="X9" i="4"/>
  <c r="Y21" i="4"/>
  <c r="W17" i="4"/>
  <c r="Y17" i="4" s="1"/>
  <c r="Y47" i="4"/>
  <c r="W43" i="4"/>
  <c r="Y43" i="4" s="1"/>
  <c r="K7" i="6"/>
  <c r="C58" i="6" s="1"/>
  <c r="D249" i="2" s="1"/>
  <c r="H249" i="2" s="1"/>
  <c r="D269" i="2"/>
  <c r="H269" i="2" s="1"/>
  <c r="H235" i="2"/>
  <c r="D254" i="2"/>
  <c r="H254" i="2" s="1"/>
  <c r="M13" i="6"/>
  <c r="M17" i="6" s="1"/>
  <c r="M18" i="6" s="1"/>
  <c r="M20" i="6" s="1"/>
  <c r="C65" i="6" s="1"/>
  <c r="D261" i="2" s="1"/>
  <c r="K36" i="6"/>
  <c r="K31" i="6"/>
  <c r="K35" i="6" s="1"/>
  <c r="AB25" i="5"/>
  <c r="AC10" i="5" s="1"/>
  <c r="AC14" i="5" s="1"/>
  <c r="C89" i="5" s="1"/>
  <c r="U121" i="4"/>
  <c r="U114" i="4"/>
  <c r="K48" i="6"/>
  <c r="K49" i="6" s="1"/>
  <c r="K43" i="6"/>
  <c r="K44" i="6" s="1"/>
  <c r="K18" i="6"/>
  <c r="H112" i="2"/>
  <c r="U60" i="4"/>
  <c r="U61" i="4" s="1"/>
  <c r="H18" i="7"/>
  <c r="H19" i="7"/>
  <c r="T27" i="5"/>
  <c r="S27" i="5" s="1"/>
  <c r="T26" i="5"/>
  <c r="S26" i="5" s="1"/>
  <c r="T20" i="5"/>
  <c r="S20" i="5" s="1"/>
  <c r="T19" i="5"/>
  <c r="S19" i="5" s="1"/>
  <c r="T18" i="5"/>
  <c r="S18" i="5" s="1"/>
  <c r="P12" i="5"/>
  <c r="P13" i="5" s="1"/>
  <c r="P15" i="5" s="1"/>
  <c r="Q19" i="5"/>
  <c r="P19" i="5" s="1"/>
  <c r="Q18" i="5"/>
  <c r="P18" i="5" s="1"/>
  <c r="T12" i="4"/>
  <c r="V12" i="4" s="1"/>
  <c r="V77" i="4"/>
  <c r="V81" i="4" s="1"/>
  <c r="T81" i="4" s="1"/>
  <c r="U82" i="4" s="1"/>
  <c r="U84" i="4" s="1"/>
  <c r="U85" i="4" s="1"/>
  <c r="AC5" i="5"/>
  <c r="D325" i="2" s="1"/>
  <c r="AC7" i="5"/>
  <c r="AE7" i="5" s="1"/>
  <c r="P28" i="5"/>
  <c r="P29" i="5" s="1"/>
  <c r="P30" i="5" s="1"/>
  <c r="F198" i="2"/>
  <c r="D322" i="2" s="1"/>
  <c r="E322" i="2" s="1"/>
  <c r="AC9" i="5"/>
  <c r="AC8" i="5"/>
  <c r="V37" i="4"/>
  <c r="T36" i="4"/>
  <c r="V36" i="4" s="1"/>
  <c r="V49" i="4" s="1"/>
  <c r="T49" i="4" s="1"/>
  <c r="P10" i="5"/>
  <c r="P11" i="5" s="1"/>
  <c r="P14" i="5" s="1"/>
  <c r="S8" i="5"/>
  <c r="S12" i="5"/>
  <c r="S13" i="5" s="1"/>
  <c r="S15" i="5" s="1"/>
  <c r="AB49" i="4"/>
  <c r="Z49" i="4" s="1"/>
  <c r="AA24" i="4"/>
  <c r="AA26" i="4" s="1"/>
  <c r="T10" i="4"/>
  <c r="V10" i="4" s="1"/>
  <c r="V23" i="4" s="1"/>
  <c r="T23" i="4" s="1"/>
  <c r="H219" i="2"/>
  <c r="W15" i="4" l="1"/>
  <c r="Y15" i="4" s="1"/>
  <c r="W12" i="4"/>
  <c r="Y12" i="4" s="1"/>
  <c r="W11" i="4"/>
  <c r="Y11" i="4" s="1"/>
  <c r="W13" i="4"/>
  <c r="Y13" i="4" s="1"/>
  <c r="W14" i="4"/>
  <c r="X114" i="4"/>
  <c r="X115" i="4"/>
  <c r="X121" i="4" s="1"/>
  <c r="Y40" i="4"/>
  <c r="W36" i="4"/>
  <c r="Y36" i="4" s="1"/>
  <c r="Y49" i="4" s="1"/>
  <c r="W49" i="4" s="1"/>
  <c r="H303" i="2"/>
  <c r="D303" i="2"/>
  <c r="E326" i="2"/>
  <c r="E325" i="2"/>
  <c r="K37" i="6"/>
  <c r="K38" i="6" s="1"/>
  <c r="K40" i="6" s="1"/>
  <c r="M19" i="6"/>
  <c r="C66" i="6" s="1"/>
  <c r="AE5" i="5"/>
  <c r="AG5" i="5" s="1"/>
  <c r="D326" i="2"/>
  <c r="K51" i="6"/>
  <c r="C72" i="6" s="1"/>
  <c r="D262" i="2" s="1"/>
  <c r="E328" i="2"/>
  <c r="K46" i="6"/>
  <c r="C70" i="6" s="1"/>
  <c r="K45" i="6"/>
  <c r="C71" i="6" s="1"/>
  <c r="H261" i="2"/>
  <c r="K19" i="6"/>
  <c r="C64" i="6" s="1"/>
  <c r="K20" i="6"/>
  <c r="C63" i="6" s="1"/>
  <c r="D247" i="2" s="1"/>
  <c r="C56" i="4"/>
  <c r="F123" i="2" s="1"/>
  <c r="D319" i="2" s="1"/>
  <c r="E319" i="2" s="1"/>
  <c r="U50" i="4"/>
  <c r="U52" i="4" s="1"/>
  <c r="U53" i="4" s="1"/>
  <c r="D56" i="4" s="1"/>
  <c r="D246" i="2"/>
  <c r="K50" i="6"/>
  <c r="C73" i="6" s="1"/>
  <c r="H20" i="7"/>
  <c r="H22" i="7" s="1"/>
  <c r="H23" i="7" s="1"/>
  <c r="AE9" i="5"/>
  <c r="C87" i="5" s="1"/>
  <c r="AE8" i="5"/>
  <c r="C86" i="5" s="1"/>
  <c r="S9" i="5"/>
  <c r="S10" i="5" s="1"/>
  <c r="P21" i="5"/>
  <c r="P22" i="5" s="1"/>
  <c r="P23" i="5" s="1"/>
  <c r="S28" i="5"/>
  <c r="S29" i="5" s="1"/>
  <c r="S30" i="5" s="1"/>
  <c r="C55" i="4"/>
  <c r="F109" i="2" s="1"/>
  <c r="D318" i="2" s="1"/>
  <c r="E318" i="2" s="1"/>
  <c r="AG7" i="5"/>
  <c r="AG6" i="5"/>
  <c r="AC12" i="5"/>
  <c r="C81" i="5"/>
  <c r="I56" i="4"/>
  <c r="F212" i="2" s="1"/>
  <c r="D323" i="2" s="1"/>
  <c r="E323" i="2" s="1"/>
  <c r="C85" i="5"/>
  <c r="C84" i="5"/>
  <c r="C83" i="5"/>
  <c r="C56" i="5"/>
  <c r="C68" i="5"/>
  <c r="C67" i="5"/>
  <c r="C58" i="5"/>
  <c r="C66" i="5"/>
  <c r="U24" i="4"/>
  <c r="AA27" i="4"/>
  <c r="J55" i="4" s="1"/>
  <c r="D200" i="2" s="1"/>
  <c r="H200" i="2" s="1"/>
  <c r="AA50" i="4"/>
  <c r="AA52" i="4" s="1"/>
  <c r="AA53" i="4" s="1"/>
  <c r="J56" i="4" s="1"/>
  <c r="H174" i="2"/>
  <c r="F56" i="4" l="1"/>
  <c r="F168" i="2" s="1"/>
  <c r="D321" i="2" s="1"/>
  <c r="E321" i="2" s="1"/>
  <c r="X50" i="4"/>
  <c r="X52" i="4" s="1"/>
  <c r="X53" i="4" s="1"/>
  <c r="G56" i="4" s="1"/>
  <c r="D172" i="2" s="1"/>
  <c r="H172" i="2" s="1"/>
  <c r="Y14" i="4"/>
  <c r="W10" i="4"/>
  <c r="Y10" i="4" s="1"/>
  <c r="Y23" i="4" s="1"/>
  <c r="W23" i="4" s="1"/>
  <c r="K39" i="6"/>
  <c r="D263" i="2"/>
  <c r="H263" i="2" s="1"/>
  <c r="D248" i="2"/>
  <c r="H248" i="2" s="1"/>
  <c r="AG9" i="5"/>
  <c r="AI9" i="5" s="1"/>
  <c r="C88" i="5" s="1"/>
  <c r="F225" i="2"/>
  <c r="H17" i="2" s="1"/>
  <c r="H18" i="2" s="1"/>
  <c r="H262" i="2"/>
  <c r="H247" i="2"/>
  <c r="H246" i="2"/>
  <c r="D36" i="7"/>
  <c r="D39" i="7" s="1"/>
  <c r="E334" i="2" s="1"/>
  <c r="H31" i="7"/>
  <c r="H32" i="7" s="1"/>
  <c r="D38" i="7" s="1"/>
  <c r="H29" i="7"/>
  <c r="H30" i="7" s="1"/>
  <c r="D37" i="7" s="1"/>
  <c r="D65" i="2" s="1"/>
  <c r="H65" i="2" s="1"/>
  <c r="D158" i="2"/>
  <c r="H158" i="2" s="1"/>
  <c r="D161" i="2"/>
  <c r="H161" i="2" s="1"/>
  <c r="AG8" i="5"/>
  <c r="AI8" i="5" s="1"/>
  <c r="AC13" i="5" s="1"/>
  <c r="D213" i="2"/>
  <c r="H213" i="2" s="1"/>
  <c r="D216" i="2"/>
  <c r="H216" i="2" s="1"/>
  <c r="D199" i="2"/>
  <c r="H199" i="2" s="1"/>
  <c r="D202" i="2"/>
  <c r="H202" i="2" s="1"/>
  <c r="D204" i="2"/>
  <c r="D203" i="2"/>
  <c r="H203" i="2" s="1"/>
  <c r="D173" i="2"/>
  <c r="H173" i="2" s="1"/>
  <c r="D175" i="2"/>
  <c r="H175" i="2" s="1"/>
  <c r="C70" i="5"/>
  <c r="S11" i="5"/>
  <c r="S14" i="5" s="1"/>
  <c r="C71" i="5" s="1"/>
  <c r="D229" i="2"/>
  <c r="D169" i="2"/>
  <c r="H169" i="2" s="1"/>
  <c r="D170" i="2"/>
  <c r="H170" i="2" s="1"/>
  <c r="D160" i="2"/>
  <c r="D155" i="2"/>
  <c r="H155" i="2" s="1"/>
  <c r="D217" i="2"/>
  <c r="H217" i="2" s="1"/>
  <c r="D214" i="2"/>
  <c r="H214" i="2" s="1"/>
  <c r="D130" i="2"/>
  <c r="H130" i="2" s="1"/>
  <c r="D127" i="2"/>
  <c r="H127" i="2" s="1"/>
  <c r="D129" i="2"/>
  <c r="D125" i="2"/>
  <c r="H125" i="2" s="1"/>
  <c r="D156" i="2"/>
  <c r="H156" i="2" s="1"/>
  <c r="D128" i="2"/>
  <c r="H128" i="2" s="1"/>
  <c r="D124" i="2"/>
  <c r="H124" i="2" s="1"/>
  <c r="H218" i="2"/>
  <c r="D324" i="2"/>
  <c r="W46" i="7"/>
  <c r="W50" i="7" s="1"/>
  <c r="W52" i="7" s="1"/>
  <c r="W54" i="7" s="1"/>
  <c r="W55" i="7" s="1"/>
  <c r="C64" i="5"/>
  <c r="C65" i="5"/>
  <c r="D237" i="2" s="1"/>
  <c r="H237" i="2" s="1"/>
  <c r="H205" i="2"/>
  <c r="U26" i="4"/>
  <c r="U27" i="4" s="1"/>
  <c r="D55" i="4" s="1"/>
  <c r="D116" i="2" s="1"/>
  <c r="F55" i="4" l="1"/>
  <c r="F154" i="2" s="1"/>
  <c r="D320" i="2" s="1"/>
  <c r="E320" i="2" s="1"/>
  <c r="X24" i="4"/>
  <c r="X26" i="4" s="1"/>
  <c r="X27" i="4" s="1"/>
  <c r="G55" i="4" s="1"/>
  <c r="D252" i="2"/>
  <c r="H252" i="2" s="1"/>
  <c r="D267" i="2"/>
  <c r="H267" i="2" s="1"/>
  <c r="D299" i="2"/>
  <c r="C77" i="5"/>
  <c r="D234" i="2" s="1"/>
  <c r="H234" i="2" s="1"/>
  <c r="C76" i="5"/>
  <c r="D233" i="2" s="1"/>
  <c r="C72" i="5"/>
  <c r="C61" i="5"/>
  <c r="D231" i="2" s="1"/>
  <c r="C62" i="5"/>
  <c r="D230" i="2" s="1"/>
  <c r="H230" i="2" s="1"/>
  <c r="D115" i="2"/>
  <c r="H115" i="2" s="1"/>
  <c r="H116" i="2"/>
  <c r="H129" i="2"/>
  <c r="D49" i="7"/>
  <c r="D337" i="2" s="1"/>
  <c r="E337" i="2" s="1"/>
  <c r="Y56" i="7"/>
  <c r="W63" i="7" s="1"/>
  <c r="H229" i="2"/>
  <c r="D159" i="2" l="1"/>
  <c r="H159" i="2" s="1"/>
  <c r="D268" i="2"/>
  <c r="H268" i="2" s="1"/>
  <c r="H233" i="2"/>
  <c r="D253" i="2"/>
  <c r="H253" i="2" s="1"/>
  <c r="H299" i="2"/>
  <c r="C63" i="5"/>
  <c r="D232" i="2" s="1"/>
  <c r="D278" i="2" s="1"/>
  <c r="D276" i="2"/>
  <c r="D275" i="2"/>
  <c r="H275" i="2" s="1"/>
  <c r="D274" i="2"/>
  <c r="D273" i="2"/>
  <c r="H273" i="2" s="1"/>
  <c r="H231" i="2"/>
  <c r="D113" i="2"/>
  <c r="D111" i="2"/>
  <c r="D110" i="2"/>
  <c r="H204" i="2"/>
  <c r="D114" i="2"/>
  <c r="D51" i="7"/>
  <c r="W60" i="7"/>
  <c r="D52" i="7" s="1"/>
  <c r="H301" i="2" l="1"/>
  <c r="D301" i="2"/>
  <c r="D295" i="2"/>
  <c r="H232" i="2"/>
  <c r="D277" i="2"/>
  <c r="H277" i="2" s="1"/>
  <c r="D70" i="2"/>
  <c r="H70" i="2" s="1"/>
  <c r="D66" i="2"/>
  <c r="D297" i="2" s="1"/>
  <c r="D305" i="2"/>
  <c r="H113" i="2"/>
  <c r="H305" i="2" s="1"/>
  <c r="H110" i="2"/>
  <c r="H295" i="2" s="1"/>
  <c r="H160" i="2"/>
  <c r="H287" i="2" s="1"/>
  <c r="D287" i="2"/>
  <c r="H114" i="2"/>
  <c r="H111" i="2"/>
  <c r="D71" i="2"/>
  <c r="H71" i="2" s="1"/>
  <c r="D67" i="2"/>
  <c r="H67" i="2" s="1"/>
  <c r="H291" i="2" l="1"/>
  <c r="D351" i="2"/>
  <c r="D347" i="2"/>
  <c r="D349" i="2"/>
  <c r="D291" i="2"/>
  <c r="H66" i="2"/>
  <c r="H297" i="2" s="1"/>
  <c r="S21" i="5"/>
  <c r="S22" i="5" s="1"/>
  <c r="S23" i="5" s="1"/>
  <c r="C73" i="5"/>
  <c r="D236" i="2" s="1"/>
  <c r="D285" i="2" s="1"/>
  <c r="C57" i="5" l="1"/>
  <c r="F228" i="2" s="1"/>
  <c r="D317" i="2" s="1"/>
  <c r="C75" i="5"/>
  <c r="D238" i="2" s="1"/>
  <c r="H236" i="2"/>
  <c r="H285" i="2" s="1"/>
  <c r="E317" i="2" l="1"/>
  <c r="D346" i="2"/>
  <c r="D348" i="2"/>
  <c r="D350" i="2"/>
  <c r="H238" i="2"/>
  <c r="H289" i="2" s="1"/>
  <c r="D289" i="2"/>
</calcChain>
</file>

<file path=xl/sharedStrings.xml><?xml version="1.0" encoding="utf-8"?>
<sst xmlns="http://schemas.openxmlformats.org/spreadsheetml/2006/main" count="4913" uniqueCount="1261">
  <si>
    <t>beton</t>
  </si>
  <si>
    <t>hout</t>
  </si>
  <si>
    <t>staal</t>
  </si>
  <si>
    <t>kolommen</t>
  </si>
  <si>
    <t>vloertype</t>
  </si>
  <si>
    <t>paaltype</t>
  </si>
  <si>
    <t>ALGEMENE INVOER GEBOUW</t>
  </si>
  <si>
    <t>Functieafhankelijke eisen</t>
  </si>
  <si>
    <t>gebruiksfunctie</t>
  </si>
  <si>
    <t>onderwijs</t>
  </si>
  <si>
    <t>ψ</t>
  </si>
  <si>
    <t>Verdiepingshoogte</t>
  </si>
  <si>
    <t>luchtgeluid functiescheidende vloer</t>
  </si>
  <si>
    <t>contactgeluid functiescheidende vloer</t>
  </si>
  <si>
    <t>brandwerendheid hoofddraagconstructie</t>
  </si>
  <si>
    <t>woongebouw</t>
  </si>
  <si>
    <t>kN/m2</t>
  </si>
  <si>
    <t>m</t>
  </si>
  <si>
    <t>dB</t>
  </si>
  <si>
    <t>60 minuten</t>
  </si>
  <si>
    <t>90 minuten</t>
  </si>
  <si>
    <t>120 minuten</t>
  </si>
  <si>
    <t>woning</t>
  </si>
  <si>
    <t>kantoor</t>
  </si>
  <si>
    <t>winkel</t>
  </si>
  <si>
    <t>nee</t>
  </si>
  <si>
    <t>sport</t>
  </si>
  <si>
    <t xml:space="preserve">m </t>
  </si>
  <si>
    <t>bijeenkomst</t>
  </si>
  <si>
    <t>industrie</t>
  </si>
  <si>
    <t>gezondheidszorg</t>
  </si>
  <si>
    <t xml:space="preserve">afwerkvloer </t>
  </si>
  <si>
    <t>plafond &amp; leidingen</t>
  </si>
  <si>
    <t>lichte scheidingswanden</t>
  </si>
  <si>
    <t>afwerkvloer</t>
  </si>
  <si>
    <t>zandcement/anhydriet 50 mm</t>
  </si>
  <si>
    <t>10,8 - 12,6</t>
  </si>
  <si>
    <t>ψ=</t>
  </si>
  <si>
    <t>zandcement/anhydriet 60 mm</t>
  </si>
  <si>
    <t>breedplaatvloer</t>
  </si>
  <si>
    <t>ja</t>
  </si>
  <si>
    <t>zandcement/anhydriet 70 mm</t>
  </si>
  <si>
    <t>kanaalplaatvloer</t>
  </si>
  <si>
    <t>appartementenvloer</t>
  </si>
  <si>
    <t>leidingvloer</t>
  </si>
  <si>
    <t>staalplaatbetonvloer</t>
  </si>
  <si>
    <t>geen</t>
  </si>
  <si>
    <t>klimaatvloer</t>
  </si>
  <si>
    <t>Overspanning</t>
  </si>
  <si>
    <t>12,6 - 16,0</t>
  </si>
  <si>
    <t>Brandwerendheid</t>
  </si>
  <si>
    <t xml:space="preserve"> minuten</t>
  </si>
  <si>
    <t>S235</t>
  </si>
  <si>
    <t>S355</t>
  </si>
  <si>
    <t>C20/25</t>
  </si>
  <si>
    <t>C25/30</t>
  </si>
  <si>
    <t>C35/45</t>
  </si>
  <si>
    <t>C45/55</t>
  </si>
  <si>
    <t>C53/65</t>
  </si>
  <si>
    <t>*</t>
  </si>
  <si>
    <t>=</t>
  </si>
  <si>
    <t>kN/m2    +</t>
  </si>
  <si>
    <t>rekenwaarde rustend permanent</t>
  </si>
  <si>
    <t>rekenwaarde e.g. vloeren</t>
  </si>
  <si>
    <t>kg/m2 * BVO</t>
  </si>
  <si>
    <t>y</t>
  </si>
  <si>
    <t>kg/m</t>
  </si>
  <si>
    <t>kg/m2</t>
  </si>
  <si>
    <t>3,6 - 5,4</t>
  </si>
  <si>
    <t>0,0 - 3,6</t>
  </si>
  <si>
    <t>x</t>
  </si>
  <si>
    <t>richting</t>
  </si>
  <si>
    <t>meter</t>
  </si>
  <si>
    <t>Rekenwaarde belasting [kN/m2]</t>
  </si>
  <si>
    <t>Overspanning vloer</t>
  </si>
  <si>
    <t>excl. e.g.</t>
  </si>
  <si>
    <t>min.</t>
  </si>
  <si>
    <t>Totale belasting</t>
  </si>
  <si>
    <t>Rekenwaarde belasting</t>
  </si>
  <si>
    <t>kanaalplaten</t>
  </si>
  <si>
    <t>druklaag</t>
  </si>
  <si>
    <t>m2</t>
  </si>
  <si>
    <t>kN</t>
  </si>
  <si>
    <t>overspanning</t>
  </si>
  <si>
    <t xml:space="preserve">BEGANE GRONDVLOER </t>
  </si>
  <si>
    <t>combinatievloer</t>
  </si>
  <si>
    <t>ribbenvloer</t>
  </si>
  <si>
    <t>Prefab beton</t>
  </si>
  <si>
    <t>prefab beton</t>
  </si>
  <si>
    <t>vulbeton</t>
  </si>
  <si>
    <t>EPS</t>
  </si>
  <si>
    <t>wapeningsstaal</t>
  </si>
  <si>
    <t>kNm</t>
  </si>
  <si>
    <t>bouwlagen</t>
  </si>
  <si>
    <t>draagkracht paal</t>
  </si>
  <si>
    <t>aantal palen benodigd</t>
  </si>
  <si>
    <t>palen</t>
  </si>
  <si>
    <t>kg/m2 BVO</t>
  </si>
  <si>
    <t>staal (wapeningsstaal, FeB 500)</t>
  </si>
  <si>
    <t>beton (vloer)</t>
  </si>
  <si>
    <t>wapening druklaag</t>
  </si>
  <si>
    <t>wapening vloer</t>
  </si>
  <si>
    <t xml:space="preserve">voorspanstaal </t>
  </si>
  <si>
    <t>vloer</t>
  </si>
  <si>
    <t>kg</t>
  </si>
  <si>
    <t>staal S235 kg/m2</t>
  </si>
  <si>
    <t xml:space="preserve"> kg/m2</t>
  </si>
  <si>
    <t>wapening FeB500 6-150</t>
  </si>
  <si>
    <t>multiplex 18 mm</t>
  </si>
  <si>
    <t>lewis zwaluwstaart</t>
  </si>
  <si>
    <t xml:space="preserve">lewisvloer 70 mm </t>
  </si>
  <si>
    <t>multiplex</t>
  </si>
  <si>
    <t>IPE180 - 1200</t>
  </si>
  <si>
    <t>IPE200 - 1200</t>
  </si>
  <si>
    <t>IPE220 - 1200</t>
  </si>
  <si>
    <t>196*34 - 250</t>
  </si>
  <si>
    <t>221*71 - 350</t>
  </si>
  <si>
    <t>221*71 - 250</t>
  </si>
  <si>
    <t>246*71 - 250</t>
  </si>
  <si>
    <t>271*71 - 250</t>
  </si>
  <si>
    <t>275 * 75 - 200</t>
  </si>
  <si>
    <t>houten balklaag</t>
  </si>
  <si>
    <t>Moment</t>
  </si>
  <si>
    <t xml:space="preserve"> 1/8 * q* l^2</t>
  </si>
  <si>
    <t>q / overspanning=</t>
  </si>
  <si>
    <t>M</t>
  </si>
  <si>
    <t>As benodigd:</t>
  </si>
  <si>
    <t>M*10^6 / (0,9 *d'*fs)</t>
  </si>
  <si>
    <t>mm2</t>
  </si>
  <si>
    <t>d</t>
  </si>
  <si>
    <t>mm</t>
  </si>
  <si>
    <t>w0</t>
  </si>
  <si>
    <t>As ben / (b * d *10^-2)</t>
  </si>
  <si>
    <t>dekking</t>
  </si>
  <si>
    <t>w0 ongeveer 1,10</t>
  </si>
  <si>
    <t>d'</t>
  </si>
  <si>
    <t>staal gewicht</t>
  </si>
  <si>
    <t>kg/m3</t>
  </si>
  <si>
    <t>fs</t>
  </si>
  <si>
    <t>N/mm2</t>
  </si>
  <si>
    <t>b</t>
  </si>
  <si>
    <t>dikte vloer [mm]</t>
  </si>
  <si>
    <t>beton ihwg</t>
  </si>
  <si>
    <t xml:space="preserve">prefab beton </t>
  </si>
  <si>
    <t>TT-plaatvloer</t>
  </si>
  <si>
    <t>60 minuten brandwerend</t>
  </si>
  <si>
    <t>ribbreedte 160 mm</t>
  </si>
  <si>
    <t>flensdikte 80 mm</t>
  </si>
  <si>
    <t>druklaag 50 mm</t>
  </si>
  <si>
    <t>wapening berekend, tbv moment, exclusief verdeelwapening</t>
  </si>
  <si>
    <t>opgave leverancier</t>
  </si>
  <si>
    <t>wapeningsstaal FeB500</t>
  </si>
  <si>
    <t>zeer indicatief!</t>
  </si>
  <si>
    <t>voor hijsen en stortbel.</t>
  </si>
  <si>
    <t>staal tralieligger</t>
  </si>
  <si>
    <t>kunststof  HDPE</t>
  </si>
  <si>
    <t>dikte vloer</t>
  </si>
  <si>
    <t>prefab beton  C53/65</t>
  </si>
  <si>
    <t>Voorspanstaal FeP1860</t>
  </si>
  <si>
    <t>beton ihwg C12/15</t>
  </si>
  <si>
    <t>staalplaat</t>
  </si>
  <si>
    <t>totaal</t>
  </si>
  <si>
    <t>staalplaat 0,7 mm</t>
  </si>
  <si>
    <t>7800*0,7*10^(-3)</t>
  </si>
  <si>
    <t>d=254</t>
  </si>
  <si>
    <t>5-150</t>
  </si>
  <si>
    <t>staalplaat 0,9 mm geprofileerd</t>
  </si>
  <si>
    <t>(2*20+2*137,5+163)*3 = 1434 mm in 1000mm plaatbreedte</t>
  </si>
  <si>
    <t>1 rond 16</t>
  </si>
  <si>
    <t>7800*0,9*10^(-3)*1,434</t>
  </si>
  <si>
    <t>d=314</t>
  </si>
  <si>
    <t>6-150</t>
  </si>
  <si>
    <t>1 rond 20</t>
  </si>
  <si>
    <t>PIR</t>
  </si>
  <si>
    <t>opp geometrie</t>
  </si>
  <si>
    <t>66*1000</t>
  </si>
  <si>
    <t>3*(2*0,5*85*108+40*108)</t>
  </si>
  <si>
    <t xml:space="preserve">totaal </t>
  </si>
  <si>
    <t>mm2 in 1000 mm brede plaat</t>
  </si>
  <si>
    <t>geometrie</t>
  </si>
  <si>
    <t xml:space="preserve">EPS blokken </t>
  </si>
  <si>
    <t xml:space="preserve">mm2 </t>
  </si>
  <si>
    <t>breedte element</t>
  </si>
  <si>
    <t>minimale hoogte 138 mm</t>
  </si>
  <si>
    <t>mm2 EPS</t>
  </si>
  <si>
    <t>kg /m2 EPS</t>
  </si>
  <si>
    <t>voorspanstaal FeP1860</t>
  </si>
  <si>
    <t>voorspanstaal = (benodigd aantal strengen x opp streng )/10^6 x 7800 kg/m3 / breedte element = kg/m2</t>
  </si>
  <si>
    <t>kg/m2 = ( n x Ap) / 10^6 x 7800 / b</t>
  </si>
  <si>
    <t>prefab beton C45/55</t>
  </si>
  <si>
    <t>breedte</t>
  </si>
  <si>
    <t>appartementvloer</t>
  </si>
  <si>
    <t>beton ihwg (vloer)</t>
  </si>
  <si>
    <t>beton prefab</t>
  </si>
  <si>
    <t>kunststof</t>
  </si>
  <si>
    <t>afwerking</t>
  </si>
  <si>
    <t>isolatie</t>
  </si>
  <si>
    <t>aantal</t>
  </si>
  <si>
    <t>dakvloer</t>
  </si>
  <si>
    <t>Staal</t>
  </si>
  <si>
    <t>koudgewalste stalen profielen + X-dek</t>
  </si>
  <si>
    <t>Hout</t>
  </si>
  <si>
    <t>voorspanstaal</t>
  </si>
  <si>
    <t>windverbanden</t>
  </si>
  <si>
    <t>begane grondvloer</t>
  </si>
  <si>
    <t>type</t>
  </si>
  <si>
    <t>wanden</t>
  </si>
  <si>
    <t>overspanning ligger</t>
  </si>
  <si>
    <t>overspanning bg</t>
  </si>
  <si>
    <t>zwevende dekvloer 90 mm</t>
  </si>
  <si>
    <t>overspanning = stramienmaat</t>
  </si>
  <si>
    <t>richting van overspanning vloeren</t>
  </si>
  <si>
    <t>type vloer verdiepingen</t>
  </si>
  <si>
    <t>brandwerendheid</t>
  </si>
  <si>
    <t>DAKVLOER</t>
  </si>
  <si>
    <t>richting van overspanning dakvloer</t>
  </si>
  <si>
    <t>gewalst staal S235</t>
  </si>
  <si>
    <t>gewalst staal S355</t>
  </si>
  <si>
    <t>keuze hoofddraagconstructie</t>
  </si>
  <si>
    <t>dragende wanden</t>
  </si>
  <si>
    <t>geschoord skelet</t>
  </si>
  <si>
    <t>ongeschoord skelet</t>
  </si>
  <si>
    <t>FUNDERING</t>
  </si>
  <si>
    <t>type fundering</t>
  </si>
  <si>
    <t>fundering op staal</t>
  </si>
  <si>
    <t>prefab betonnen heipalen</t>
  </si>
  <si>
    <t>trillingsarm aangebrachte palen</t>
  </si>
  <si>
    <t>overspanning bg vloer</t>
  </si>
  <si>
    <t>mm*mm-h.o.h.</t>
  </si>
  <si>
    <t>mm2/m</t>
  </si>
  <si>
    <t>m3</t>
  </si>
  <si>
    <t>e.g. vloer</t>
  </si>
  <si>
    <t xml:space="preserve">kg/m2 </t>
  </si>
  <si>
    <t>factor ophoging wanddikte</t>
  </si>
  <si>
    <t>A</t>
  </si>
  <si>
    <t>wapening</t>
  </si>
  <si>
    <t>CS16</t>
  </si>
  <si>
    <t>CS20</t>
  </si>
  <si>
    <t xml:space="preserve">beton </t>
  </si>
  <si>
    <t>Belasting</t>
  </si>
  <si>
    <t>dikte</t>
  </si>
  <si>
    <t>Kanaalplaatvloer</t>
  </si>
  <si>
    <t>dikte vloer ongeisoleerd [mm]</t>
  </si>
  <si>
    <t>druklaag 60 mm</t>
  </si>
  <si>
    <t>dikte vloer geisoleerd [mm]</t>
  </si>
  <si>
    <t>prefab beton B55  [kg/m2]</t>
  </si>
  <si>
    <t>dikte vloer totaal [mm]</t>
  </si>
  <si>
    <t>voorspanstaal FeP1860 [kg/m2]</t>
  </si>
  <si>
    <t>Ap (opp streng)</t>
  </si>
  <si>
    <t>Combinatievloer</t>
  </si>
  <si>
    <t>wapeningsstaal FeB 500 [kg/m2]</t>
  </si>
  <si>
    <t>prefab beton C35/45  [kg/m2]</t>
  </si>
  <si>
    <t>vulbeton [kg/m2]</t>
  </si>
  <si>
    <t>totaal dikte vloer</t>
  </si>
  <si>
    <t>voorspanstaal = (benodigd aantal strengen x opp streng )/10^6 x 7800 kg/m3 / afstand tussen liggers= kg/m2</t>
  </si>
  <si>
    <t>afstand tussen liggers</t>
  </si>
  <si>
    <t>Ribbenvloer</t>
  </si>
  <si>
    <t>dikte vloer constructief [mm]</t>
  </si>
  <si>
    <t>dikte vloer met isolatie  [mm]</t>
  </si>
  <si>
    <t>prefab beton C53/65  [kg/m2]</t>
  </si>
  <si>
    <t>wapeningsstaal [kg/m2]</t>
  </si>
  <si>
    <t xml:space="preserve">kg/m3 </t>
  </si>
  <si>
    <t>Schema van boven naar beneden invoeren!</t>
  </si>
  <si>
    <t>tekst</t>
  </si>
  <si>
    <t>vul zelf een waarde in</t>
  </si>
  <si>
    <t>waarde wordt gegenereerd</t>
  </si>
  <si>
    <t>BEGANE GRONDVLOER</t>
  </si>
  <si>
    <t>paallengte</t>
  </si>
  <si>
    <t>beton per eenheid</t>
  </si>
  <si>
    <t>kN/m</t>
  </si>
  <si>
    <t>type begane grondvloer en dikte</t>
  </si>
  <si>
    <t>richting overspanning secundaire liggers</t>
  </si>
  <si>
    <t>richting overspanning hoofdliggers</t>
  </si>
  <si>
    <t>MATERIAALHOEVEELHEDEN HOOFDDRAAGCONSTRUCTIE</t>
  </si>
  <si>
    <t>POEREN</t>
  </si>
  <si>
    <t>Aantal stramienen x</t>
  </si>
  <si>
    <t>Aantal stramienen y</t>
  </si>
  <si>
    <t>Aantal poeren</t>
  </si>
  <si>
    <t>2-paalspoeren</t>
  </si>
  <si>
    <t>4-paalspoeren</t>
  </si>
  <si>
    <t xml:space="preserve">eigen gewicht vloer </t>
  </si>
  <si>
    <t>type vloer verdiepingen en dikte</t>
  </si>
  <si>
    <t>f-y</t>
  </si>
  <si>
    <t>E</t>
  </si>
  <si>
    <t>m^4</t>
  </si>
  <si>
    <t>2 wanden</t>
  </si>
  <si>
    <t>3 wanden</t>
  </si>
  <si>
    <t>4 wanden</t>
  </si>
  <si>
    <t>1 wand</t>
  </si>
  <si>
    <t>h</t>
  </si>
  <si>
    <t>kern</t>
  </si>
  <si>
    <t>materiaal stabiliteitsvoorziening</t>
  </si>
  <si>
    <t>geprofileerd staal</t>
  </si>
  <si>
    <t>EG vloer kN/m2</t>
  </si>
  <si>
    <t>computervloer 350 mm</t>
  </si>
  <si>
    <t>Keuze plafond</t>
  </si>
  <si>
    <t>TOTAALOVERZICHT MATERIALEN HOOFDDRAAGCONSTRUCTIE</t>
  </si>
  <si>
    <t>GEDETAILLEERDE RESULTATEN</t>
  </si>
  <si>
    <t>VLOEREN</t>
  </si>
  <si>
    <t>300 mm</t>
  </si>
  <si>
    <t>400 mm</t>
  </si>
  <si>
    <t>500 mm</t>
  </si>
  <si>
    <t>dikte constructievloer</t>
  </si>
  <si>
    <t>INVOER PER BOUWDEEL</t>
  </si>
  <si>
    <t>VERDIEPINGSVLOEREN STANDAARD</t>
  </si>
  <si>
    <t>VERDIEPINGSVLOEREN AFWIJKEND</t>
  </si>
  <si>
    <t>verdiepingsvloeren standaard</t>
  </si>
  <si>
    <t>verdiepingsvloeren afwijkend</t>
  </si>
  <si>
    <t>t.b.v. koppeling productkaarten</t>
  </si>
  <si>
    <t>G</t>
  </si>
  <si>
    <t>Wy;el</t>
  </si>
  <si>
    <t>Iy</t>
  </si>
  <si>
    <t>[mm]</t>
  </si>
  <si>
    <t>[kg/m]</t>
  </si>
  <si>
    <t>[mm3]</t>
  </si>
  <si>
    <t>[mm4]</t>
  </si>
  <si>
    <t>IPE80</t>
  </si>
  <si>
    <t>IPE100</t>
  </si>
  <si>
    <t>IPE120</t>
  </si>
  <si>
    <t>IPE140</t>
  </si>
  <si>
    <t>IPE160</t>
  </si>
  <si>
    <t>IPE180</t>
  </si>
  <si>
    <t>IPE200</t>
  </si>
  <si>
    <t>IPE220</t>
  </si>
  <si>
    <t>IPE240</t>
  </si>
  <si>
    <t>IPE270</t>
  </si>
  <si>
    <t>IPE300</t>
  </si>
  <si>
    <t>IPE330</t>
  </si>
  <si>
    <t>IPE360</t>
  </si>
  <si>
    <t>IPE400</t>
  </si>
  <si>
    <t>IPE450</t>
  </si>
  <si>
    <t>IPE500</t>
  </si>
  <si>
    <t>IPE550</t>
  </si>
  <si>
    <t>IPE600</t>
  </si>
  <si>
    <t>UNP80</t>
  </si>
  <si>
    <t>UNP100</t>
  </si>
  <si>
    <t>UNP120</t>
  </si>
  <si>
    <t>UNP140</t>
  </si>
  <si>
    <t>UNP160</t>
  </si>
  <si>
    <t>UNP180</t>
  </si>
  <si>
    <t>UNP200</t>
  </si>
  <si>
    <t>UNP220</t>
  </si>
  <si>
    <t>UNP240</t>
  </si>
  <si>
    <t>UNP260</t>
  </si>
  <si>
    <t>UNP280</t>
  </si>
  <si>
    <t>UNP300</t>
  </si>
  <si>
    <t>UNP320</t>
  </si>
  <si>
    <t>UNP350</t>
  </si>
  <si>
    <t>UNP380</t>
  </si>
  <si>
    <t>UNP400</t>
  </si>
  <si>
    <t>aanname</t>
  </si>
  <si>
    <t>werkelijk</t>
  </si>
  <si>
    <t>kanaalplaatvloer met druklaag</t>
  </si>
  <si>
    <t>type vloer</t>
  </si>
  <si>
    <t>aantal kernen</t>
  </si>
  <si>
    <t>mm3</t>
  </si>
  <si>
    <t>mm4</t>
  </si>
  <si>
    <t>gekozen profiel</t>
  </si>
  <si>
    <t>kies een waarde uit de lijst</t>
  </si>
  <si>
    <t>46*96-300</t>
  </si>
  <si>
    <t>38*140-400</t>
  </si>
  <si>
    <t>46*146-300</t>
  </si>
  <si>
    <t>A/m</t>
  </si>
  <si>
    <t>L</t>
  </si>
  <si>
    <t>Gipsplaat</t>
  </si>
  <si>
    <t>houtskeletbouw</t>
  </si>
  <si>
    <t>BVO Totaal</t>
  </si>
  <si>
    <t>richting wanden x of y</t>
  </si>
  <si>
    <t>naaldhout</t>
  </si>
  <si>
    <t>h.o.h. liggers</t>
  </si>
  <si>
    <t>h.o.h. kolommen</t>
  </si>
  <si>
    <t>59*156</t>
  </si>
  <si>
    <t>71*171</t>
  </si>
  <si>
    <t>71*221</t>
  </si>
  <si>
    <t>71*271</t>
  </si>
  <si>
    <t>stramienmaat secundaire liggers</t>
  </si>
  <si>
    <t>gelamineerd hout</t>
  </si>
  <si>
    <t>GL24</t>
  </si>
  <si>
    <t>gipsplaat</t>
  </si>
  <si>
    <t>overspanning vloer</t>
  </si>
  <si>
    <t>h.o.h.</t>
  </si>
  <si>
    <r>
      <t>kN/m</t>
    </r>
    <r>
      <rPr>
        <vertAlign val="superscript"/>
        <sz val="9.5"/>
        <rFont val="Arial"/>
        <family val="2"/>
      </rPr>
      <t>2</t>
    </r>
  </si>
  <si>
    <r>
      <t>kN/m</t>
    </r>
    <r>
      <rPr>
        <vertAlign val="superscript"/>
        <sz val="9.5"/>
        <color indexed="8"/>
        <rFont val="Arial"/>
        <family val="2"/>
      </rPr>
      <t>2</t>
    </r>
  </si>
  <si>
    <r>
      <t>m</t>
    </r>
    <r>
      <rPr>
        <vertAlign val="superscript"/>
        <sz val="9.5"/>
        <color indexed="8"/>
        <rFont val="Arial"/>
        <family val="2"/>
      </rPr>
      <t>2</t>
    </r>
  </si>
  <si>
    <r>
      <t>h</t>
    </r>
    <r>
      <rPr>
        <vertAlign val="subscript"/>
        <sz val="9.5"/>
        <color theme="1"/>
        <rFont val="Arial"/>
        <family val="2"/>
      </rPr>
      <t>bov;vloer</t>
    </r>
    <r>
      <rPr>
        <sz val="9.5"/>
        <color theme="1"/>
        <rFont val="Arial"/>
        <family val="2"/>
      </rPr>
      <t>&lt;7 m</t>
    </r>
  </si>
  <si>
    <r>
      <t>7&lt;h</t>
    </r>
    <r>
      <rPr>
        <vertAlign val="subscript"/>
        <sz val="9.5"/>
        <color theme="1"/>
        <rFont val="Arial"/>
        <family val="2"/>
      </rPr>
      <t>bov;vloer</t>
    </r>
    <r>
      <rPr>
        <sz val="9.5"/>
        <color theme="1"/>
        <rFont val="Arial"/>
        <family val="2"/>
      </rPr>
      <t>&lt;13 m</t>
    </r>
  </si>
  <si>
    <r>
      <t>h</t>
    </r>
    <r>
      <rPr>
        <vertAlign val="subscript"/>
        <sz val="9.5"/>
        <color theme="1"/>
        <rFont val="Arial"/>
        <family val="2"/>
      </rPr>
      <t>bov;vloer</t>
    </r>
    <r>
      <rPr>
        <sz val="9.5"/>
        <color theme="1"/>
        <rFont val="Arial"/>
        <family val="2"/>
      </rPr>
      <t>&gt;13 m</t>
    </r>
  </si>
  <si>
    <r>
      <t>kN/m</t>
    </r>
    <r>
      <rPr>
        <b/>
        <vertAlign val="superscript"/>
        <sz val="9.5"/>
        <color theme="1"/>
        <rFont val="Arial"/>
        <family val="2"/>
      </rPr>
      <t>2</t>
    </r>
  </si>
  <si>
    <r>
      <t>h</t>
    </r>
    <r>
      <rPr>
        <vertAlign val="subscript"/>
        <sz val="9.5"/>
        <color theme="1"/>
        <rFont val="Arial"/>
        <family val="2"/>
      </rPr>
      <t>bov;vloer</t>
    </r>
    <r>
      <rPr>
        <sz val="9.5"/>
        <color theme="1"/>
        <rFont val="Arial"/>
        <family val="2"/>
      </rPr>
      <t>&lt;5 m</t>
    </r>
  </si>
  <si>
    <r>
      <t>5&lt;h</t>
    </r>
    <r>
      <rPr>
        <vertAlign val="subscript"/>
        <sz val="9.5"/>
        <color theme="1"/>
        <rFont val="Arial"/>
        <family val="2"/>
      </rPr>
      <t>bov;vloer</t>
    </r>
    <r>
      <rPr>
        <sz val="9.5"/>
        <color theme="1"/>
        <rFont val="Arial"/>
        <family val="2"/>
      </rPr>
      <t>&lt;13 m</t>
    </r>
  </si>
  <si>
    <r>
      <t>kN/m</t>
    </r>
    <r>
      <rPr>
        <vertAlign val="superscript"/>
        <sz val="9.5"/>
        <color theme="1"/>
        <rFont val="Arial"/>
        <family val="2"/>
      </rPr>
      <t>2</t>
    </r>
  </si>
  <si>
    <r>
      <t>licht 0,2 kN/m</t>
    </r>
    <r>
      <rPr>
        <vertAlign val="superscript"/>
        <sz val="9.5"/>
        <color theme="1"/>
        <rFont val="Arial"/>
        <family val="2"/>
      </rPr>
      <t>2</t>
    </r>
  </si>
  <si>
    <r>
      <t>zwaar 0,4 kN/m</t>
    </r>
    <r>
      <rPr>
        <vertAlign val="superscript"/>
        <sz val="9.5"/>
        <color theme="1"/>
        <rFont val="Arial"/>
        <family val="2"/>
      </rPr>
      <t>2</t>
    </r>
  </si>
  <si>
    <r>
      <t>licht 0,5 kN/m</t>
    </r>
    <r>
      <rPr>
        <vertAlign val="superscript"/>
        <sz val="9.5"/>
        <color theme="1"/>
        <rFont val="Arial"/>
        <family val="2"/>
      </rPr>
      <t>2</t>
    </r>
  </si>
  <si>
    <r>
      <t>zwaar 2,5 kN/m</t>
    </r>
    <r>
      <rPr>
        <vertAlign val="superscript"/>
        <sz val="9.5"/>
        <color theme="1"/>
        <rFont val="Arial"/>
        <family val="2"/>
      </rPr>
      <t>2</t>
    </r>
  </si>
  <si>
    <r>
      <t>q</t>
    </r>
    <r>
      <rPr>
        <vertAlign val="subscript"/>
        <sz val="9.5"/>
        <color theme="1"/>
        <rFont val="Arial"/>
        <family val="2"/>
      </rPr>
      <t>f;g;u</t>
    </r>
  </si>
  <si>
    <r>
      <t>q</t>
    </r>
    <r>
      <rPr>
        <vertAlign val="subscript"/>
        <sz val="9.5"/>
        <color theme="1"/>
        <rFont val="Arial"/>
        <family val="2"/>
      </rPr>
      <t>f;q;u</t>
    </r>
  </si>
  <si>
    <r>
      <rPr>
        <sz val="9.5"/>
        <color theme="1"/>
        <rFont val="Arial"/>
        <family val="2"/>
      </rPr>
      <t>kN/m2    momentaan</t>
    </r>
  </si>
  <si>
    <r>
      <t>kg/m</t>
    </r>
    <r>
      <rPr>
        <vertAlign val="superscript"/>
        <sz val="9.5"/>
        <color indexed="8"/>
        <rFont val="Arial"/>
        <family val="2"/>
      </rPr>
      <t>2</t>
    </r>
  </si>
  <si>
    <r>
      <t>m</t>
    </r>
    <r>
      <rPr>
        <vertAlign val="superscript"/>
        <sz val="9.5"/>
        <color theme="1"/>
        <rFont val="Arial"/>
        <family val="2"/>
      </rPr>
      <t>2</t>
    </r>
  </si>
  <si>
    <r>
      <t>m</t>
    </r>
    <r>
      <rPr>
        <vertAlign val="superscript"/>
        <sz val="9.5"/>
        <color theme="1"/>
        <rFont val="Arial"/>
        <family val="2"/>
      </rPr>
      <t>1</t>
    </r>
  </si>
  <si>
    <t>Totaal excl. stalen liggers</t>
  </si>
  <si>
    <t>gewicht liggers [kg/m]</t>
  </si>
  <si>
    <t>gewicht liggers kg/m2</t>
  </si>
  <si>
    <t>overige belastingen e.g. vloer</t>
  </si>
  <si>
    <t>Totaal e.g. vloer [kg/m2]</t>
  </si>
  <si>
    <t>EG vloer kg/m2</t>
  </si>
  <si>
    <t>vloerdikte</t>
  </si>
  <si>
    <t>gevelwanden</t>
  </si>
  <si>
    <t>middenwanden</t>
  </si>
  <si>
    <t>Emodulus</t>
  </si>
  <si>
    <t>Reductie gescheurde doorsnede</t>
  </si>
  <si>
    <t>Reductie sparingen</t>
  </si>
  <si>
    <t>extra bouwkundige voorzieningen wel/niet noodzakelijk</t>
  </si>
  <si>
    <t>aantal kolommen per bouwlaag</t>
  </si>
  <si>
    <t>m1</t>
  </si>
  <si>
    <t>Totale hoeveelheid palen</t>
  </si>
  <si>
    <t>PALEN</t>
  </si>
  <si>
    <t>stalen dakplaten</t>
  </si>
  <si>
    <t>Stalen dakplaten</t>
  </si>
  <si>
    <t>CS12</t>
  </si>
  <si>
    <t>CS44</t>
  </si>
  <si>
    <t>Gebouwgebonden parameters</t>
  </si>
  <si>
    <t>Paaldraagvermogen</t>
  </si>
  <si>
    <t>Paallengte</t>
  </si>
  <si>
    <t>30 minuten</t>
  </si>
  <si>
    <t>stramienmaat x</t>
  </si>
  <si>
    <t>stramienmaat y</t>
  </si>
  <si>
    <t>wel of geen kern</t>
  </si>
  <si>
    <t>RESULTATEN</t>
  </si>
  <si>
    <t>Oppervlakte dakvloer</t>
  </si>
  <si>
    <t>materiaal</t>
  </si>
  <si>
    <t>indien totale vloermassa &gt; 800 kg/m2</t>
  </si>
  <si>
    <t>wapening per eenheid 150 kg/m3</t>
  </si>
  <si>
    <t>Houten kanaalplaatvloer</t>
  </si>
  <si>
    <t>Prefab schil met I-profielen</t>
  </si>
  <si>
    <t>Prefab schillen met tralieliggers</t>
  </si>
  <si>
    <t>prefab schil met I-profielen</t>
  </si>
  <si>
    <t>cassettevloer</t>
  </si>
  <si>
    <t>staalplaat met isolatie en opstorting</t>
  </si>
  <si>
    <t>houten kanaalplaatvloer</t>
  </si>
  <si>
    <t>prefab schillen met tralieliggers</t>
  </si>
  <si>
    <t>massieve houten plaatvloer</t>
  </si>
  <si>
    <t>(on)geschoord skelet</t>
  </si>
  <si>
    <t>stabiliteit i.g.v. dragende wanden</t>
  </si>
  <si>
    <t>h.o.h. balken</t>
  </si>
  <si>
    <t>begane grond</t>
  </si>
  <si>
    <t>dak</t>
  </si>
  <si>
    <t>Q</t>
  </si>
  <si>
    <t>psi</t>
  </si>
  <si>
    <t>Totaal representatief  kN/m2</t>
  </si>
  <si>
    <t>Totaal representatief  kN/m</t>
  </si>
  <si>
    <t>Totaal rekenwaarde kN/m</t>
  </si>
  <si>
    <t>Belasting uit dragende wanden</t>
  </si>
  <si>
    <t>dikte wanden</t>
  </si>
  <si>
    <t>gewicht wanden</t>
  </si>
  <si>
    <t>kN/m3</t>
  </si>
  <si>
    <t>hoogte wanden</t>
  </si>
  <si>
    <t>rekenwaarde belasting uit wanden</t>
  </si>
  <si>
    <t>Totale belasting op sloof</t>
  </si>
  <si>
    <t>Opp. Sloof A=b * 0,25 + 0,6 * 0,25</t>
  </si>
  <si>
    <t>Aantal sloven</t>
  </si>
  <si>
    <t>Randbalk rondom</t>
  </si>
  <si>
    <t>Randbalk rondom 500*600</t>
  </si>
  <si>
    <t>funderingssloven</t>
  </si>
  <si>
    <t>afmetingen funderingssloven</t>
  </si>
  <si>
    <t>Materiaal</t>
  </si>
  <si>
    <t xml:space="preserve">hout </t>
  </si>
  <si>
    <r>
      <t>middelzwaar 1,5 kN/m</t>
    </r>
    <r>
      <rPr>
        <vertAlign val="superscript"/>
        <sz val="9.5"/>
        <color theme="1"/>
        <rFont val="Arial"/>
        <family val="2"/>
      </rPr>
      <t>2</t>
    </r>
  </si>
  <si>
    <t>HOOFDDRAAGCONSTR. - LIGGERS PRIM. VLOER AFW.</t>
  </si>
  <si>
    <t>PROJECTNAAM</t>
  </si>
  <si>
    <t>IPE240 - 1200</t>
  </si>
  <si>
    <t>IPE330 - 1200</t>
  </si>
  <si>
    <t>IPE400 - 1200</t>
  </si>
  <si>
    <t>IPE270 - 1200</t>
  </si>
  <si>
    <t>IPE450 - 1200</t>
  </si>
  <si>
    <t>IPE550 - 1200</t>
  </si>
  <si>
    <t>IPE360 - 1200</t>
  </si>
  <si>
    <t>IPE600 - 1200</t>
  </si>
  <si>
    <t>dikte vloer (mm)</t>
  </si>
  <si>
    <t>massa voorspanstaal</t>
  </si>
  <si>
    <t>oppervlakte voorspanstaal (mm2)</t>
  </si>
  <si>
    <t xml:space="preserve"> oppervlakte voorspanstaal (mm2)</t>
  </si>
  <si>
    <t>voorspanstaal = (opp streng /10^6) x 7800 kg/m3 / breedte element = kg/m2</t>
  </si>
  <si>
    <t>kg/m2 = (Ap / 10^6 ) x 7800 / b</t>
  </si>
  <si>
    <t>bepaald op basis v 90 minuten brandwerendheid</t>
  </si>
  <si>
    <t>TT plaatvloer</t>
  </si>
  <si>
    <t>kzs std kwaliteit</t>
  </si>
  <si>
    <t>kzs klinker kwaliteit</t>
  </si>
  <si>
    <t>kzs hoogbouw kwaliteit</t>
  </si>
  <si>
    <t>kzs</t>
  </si>
  <si>
    <t>totaal afwerkingen</t>
  </si>
  <si>
    <t>afwerkingen:</t>
  </si>
  <si>
    <t>totaal permanente belasting</t>
  </si>
  <si>
    <t>wel of geen bouwkundige voorzieningen:</t>
  </si>
  <si>
    <t>keuze's</t>
  </si>
  <si>
    <t>vloerdikte totaal</t>
  </si>
  <si>
    <t>keuzetabellen</t>
  </si>
  <si>
    <t>Akoestische eisen alleen bij woningbouw</t>
  </si>
  <si>
    <t>Materiaal kwaliteiten</t>
  </si>
  <si>
    <t>Kzs</t>
  </si>
  <si>
    <t>Gelamineerd hout</t>
  </si>
  <si>
    <t>Materialen liggers</t>
  </si>
  <si>
    <t>Systeem hoofddraagconstructie</t>
  </si>
  <si>
    <t>Type skelet</t>
  </si>
  <si>
    <t>Materialen geschoord skelet</t>
  </si>
  <si>
    <t>Materialen ongeschoord skelet</t>
  </si>
  <si>
    <t>Materialen dragende wanden</t>
  </si>
  <si>
    <t>Stabiliteitssysteem</t>
  </si>
  <si>
    <t>Materialen stabiliteitswanden</t>
  </si>
  <si>
    <t>Positie wanden stabiliteit kzs</t>
  </si>
  <si>
    <t>Materialen stabiliteitskern</t>
  </si>
  <si>
    <t>Type fundering</t>
  </si>
  <si>
    <t>Aantal kernen</t>
  </si>
  <si>
    <t>Aantal velden</t>
  </si>
  <si>
    <t>Aantal scheidinginswanden</t>
  </si>
  <si>
    <t>Begane grondvloer</t>
  </si>
  <si>
    <t>Dakvloer</t>
  </si>
  <si>
    <t>Verdiepingsvloeren</t>
  </si>
  <si>
    <t>stabiliteit y</t>
  </si>
  <si>
    <t>skelet y</t>
  </si>
  <si>
    <t>skelet x</t>
  </si>
  <si>
    <t>stabiliteit x</t>
  </si>
  <si>
    <t/>
  </si>
  <si>
    <t xml:space="preserve"> - richting</t>
  </si>
  <si>
    <r>
      <rPr>
        <b/>
        <sz val="9.5"/>
        <color theme="1"/>
        <rFont val="Arial"/>
        <family val="2"/>
      </rPr>
      <t>kN/m2    momentaan</t>
    </r>
  </si>
  <si>
    <t>Verdiepingsvloer standaard</t>
  </si>
  <si>
    <t>Verdiepingsvloer afwijkend</t>
  </si>
  <si>
    <t>BELASTINGEN</t>
  </si>
  <si>
    <t>belastingen verdiepingsvloeren standaard</t>
  </si>
  <si>
    <t>belastingen verdiepingsvloeren afwijkend</t>
  </si>
  <si>
    <t>belastingen dakvloer</t>
  </si>
  <si>
    <t>licht 0,5 kN/m2</t>
  </si>
  <si>
    <t>5,4 - 7,2</t>
  </si>
  <si>
    <t>7,2 - 10,8</t>
  </si>
  <si>
    <t>FUNDERINGSBALKEN</t>
  </si>
  <si>
    <r>
      <t>HOEVEELHEDEN MATERIAAL kg/m</t>
    </r>
    <r>
      <rPr>
        <b/>
        <vertAlign val="superscript"/>
        <sz val="9"/>
        <color theme="1"/>
        <rFont val="Arial"/>
        <family val="2"/>
      </rPr>
      <t>2</t>
    </r>
    <r>
      <rPr>
        <b/>
        <sz val="9"/>
        <color theme="1"/>
        <rFont val="Arial"/>
        <family val="2"/>
      </rPr>
      <t xml:space="preserve"> BVO</t>
    </r>
  </si>
  <si>
    <r>
      <t>kg/m</t>
    </r>
    <r>
      <rPr>
        <vertAlign val="superscript"/>
        <sz val="9"/>
        <color indexed="8"/>
        <rFont val="Arial"/>
        <family val="2"/>
      </rPr>
      <t>2</t>
    </r>
  </si>
  <si>
    <t>st</t>
  </si>
  <si>
    <t>aantal bouwlagen verdiepingsvloeren standaard</t>
  </si>
  <si>
    <t>bijbehorend profiel</t>
  </si>
  <si>
    <t>rij:</t>
  </si>
  <si>
    <t>gewicht gekozen profiel</t>
  </si>
  <si>
    <t>standaard</t>
  </si>
  <si>
    <t>afwijkend</t>
  </si>
  <si>
    <t>ALGEMEEN</t>
  </si>
  <si>
    <t>Aantal bouwlagen</t>
  </si>
  <si>
    <t>Verlaagd plafond</t>
  </si>
  <si>
    <t>Begane grondvloer:</t>
  </si>
  <si>
    <t>Gebruiksfunctie</t>
  </si>
  <si>
    <t>Vrije hoogte</t>
  </si>
  <si>
    <t>Vloerdikte (incl. afwerkvloer)</t>
  </si>
  <si>
    <t>Verdiepingshoogte totaal:</t>
  </si>
  <si>
    <t>Verdiepingsvloeren standaard:</t>
  </si>
  <si>
    <t>Dakvloer:</t>
  </si>
  <si>
    <t>Verdiepingsvloeren afwijkend:</t>
  </si>
  <si>
    <t>Totalen:</t>
  </si>
  <si>
    <t>Oppervlakte in BVO</t>
  </si>
  <si>
    <t>minuten</t>
  </si>
  <si>
    <t>grind</t>
  </si>
  <si>
    <t>isolatiemateriaal</t>
  </si>
  <si>
    <t>kan niet</t>
  </si>
  <si>
    <t>gekozen vloersysteem verdiepingsvloeren</t>
  </si>
  <si>
    <t>gekozen vloersysteem verdiepingsvloeren afwijkend</t>
  </si>
  <si>
    <t>kolomlengte BG tot dak</t>
  </si>
  <si>
    <t>Hoogte bovenste vloer (rekenwaarde t.b.v. bepaling brandwerendheid)</t>
  </si>
  <si>
    <t>OVERZICHT VLOEREN</t>
  </si>
  <si>
    <t>aantal velden</t>
  </si>
  <si>
    <t>min</t>
  </si>
  <si>
    <t>- richting</t>
  </si>
  <si>
    <t>Optie 1:</t>
  </si>
  <si>
    <t>Optie 2:</t>
  </si>
  <si>
    <t>Optie 3:</t>
  </si>
  <si>
    <t>Optie 4:</t>
  </si>
  <si>
    <t>vloeren</t>
  </si>
  <si>
    <t>P.L.</t>
  </si>
  <si>
    <t>S.L.</t>
  </si>
  <si>
    <t>Gekozen optie:</t>
  </si>
  <si>
    <t>niet</t>
  </si>
  <si>
    <t>Secundaire liggers wel of niet noodzakelijk?</t>
  </si>
  <si>
    <t>dus;</t>
  </si>
  <si>
    <t>noodzakelijk</t>
  </si>
  <si>
    <t>noodzakelijk (in de vorm van gordingen!)</t>
  </si>
  <si>
    <t>noodzakelijk, maar mogen wel toegpast worden</t>
  </si>
  <si>
    <t>secundaire liggers toegepast?</t>
  </si>
  <si>
    <t>secundaire liggers noodzakelijk?</t>
  </si>
  <si>
    <t>Aantal bouwlagen totaal</t>
  </si>
  <si>
    <t>belastingen</t>
  </si>
  <si>
    <r>
      <t>kN/m</t>
    </r>
    <r>
      <rPr>
        <vertAlign val="superscript"/>
        <sz val="9"/>
        <color indexed="8"/>
        <rFont val="Arial"/>
        <family val="2"/>
      </rPr>
      <t>2</t>
    </r>
  </si>
  <si>
    <t>Rekenwaarde belasting dak</t>
  </si>
  <si>
    <t>FUNDERING OP PALEN</t>
  </si>
  <si>
    <t>FUNDERING OP STAAL -FUNDERINGSSLOVEN</t>
  </si>
  <si>
    <t>STABILITEIT KERN</t>
  </si>
  <si>
    <t>STABILITEIT WINDVERBANDEN</t>
  </si>
  <si>
    <t>STABILITEIT WANDEN</t>
  </si>
  <si>
    <t>ρstaal</t>
  </si>
  <si>
    <r>
      <t>kN/m</t>
    </r>
    <r>
      <rPr>
        <vertAlign val="superscript"/>
        <sz val="9"/>
        <color theme="1"/>
        <rFont val="Arial"/>
        <family val="2"/>
      </rPr>
      <t>2</t>
    </r>
  </si>
  <si>
    <r>
      <t>c</t>
    </r>
    <r>
      <rPr>
        <vertAlign val="subscript"/>
        <sz val="9"/>
        <color theme="1"/>
        <rFont val="Arial"/>
        <family val="2"/>
      </rPr>
      <t>pe</t>
    </r>
  </si>
  <si>
    <t>n wanden</t>
  </si>
  <si>
    <t>1/12 * n wanden</t>
  </si>
  <si>
    <t>Gereduceerde Emodulus</t>
  </si>
  <si>
    <t>STABILITEIT - KERN</t>
  </si>
  <si>
    <t>STABILITEIT- WINDVERBANDEN</t>
  </si>
  <si>
    <t>STABILITEIT - BETONWANDEN</t>
  </si>
  <si>
    <t>beton gegevens</t>
  </si>
  <si>
    <t>staal gegevens</t>
  </si>
  <si>
    <t>materiaal wanden</t>
  </si>
  <si>
    <t>gereduceerde Emodulus</t>
  </si>
  <si>
    <t>aantal wanden</t>
  </si>
  <si>
    <t>licht 0,2 kN/m2</t>
  </si>
  <si>
    <t>stramienen</t>
  </si>
  <si>
    <t>MATERIAAL GEGEVENS</t>
  </si>
  <si>
    <t>WANDEN HOUT</t>
  </si>
  <si>
    <t>WANDEN ALLE (BEHALVE HOUT)</t>
  </si>
  <si>
    <t>materiaal + kwaliteit</t>
  </si>
  <si>
    <t>dikte wand (als wand)</t>
  </si>
  <si>
    <t>ihwg</t>
  </si>
  <si>
    <t>ihwg beton</t>
  </si>
  <si>
    <t>betonvloer ihwg</t>
  </si>
  <si>
    <t>geschoord:</t>
  </si>
  <si>
    <t>ongeschoord:</t>
  </si>
  <si>
    <t>primaire ligger</t>
  </si>
  <si>
    <t>secundaire ligger</t>
  </si>
  <si>
    <t>Deze wordt opgeteld bij de opgelegde belasting</t>
  </si>
  <si>
    <t>opgelegde belasting</t>
  </si>
  <si>
    <t>totaal opgelegde belasting</t>
  </si>
  <si>
    <t>Rekenwaarde SLS (excl. eigen gewicht vloer)</t>
  </si>
  <si>
    <t>Rekenwaarde SLS (incl. eigen gewicht vloer)</t>
  </si>
  <si>
    <t>Rekenwaarde ULS (excl. eigen gewicht vloer)</t>
  </si>
  <si>
    <t>Rekenwaarde ULS (incl. eigen gewicht vloer)</t>
  </si>
  <si>
    <t>Rekenwaarde SLS(excl. eigen gewicht vloer)</t>
  </si>
  <si>
    <t>type belastingen</t>
  </si>
  <si>
    <t>rekenwaarde opgelegd</t>
  </si>
  <si>
    <t>Rekenwaarde belasting ULS extreem</t>
  </si>
  <si>
    <t>Rekenwaarde belasting ULS momentaan</t>
  </si>
  <si>
    <t>m (vloerdikte geschat)</t>
  </si>
  <si>
    <t>funderingsbalken (midden balken)</t>
  </si>
  <si>
    <t xml:space="preserve">funderingsbalken (rand balken) </t>
  </si>
  <si>
    <t>funderingsbalken (rand balken)</t>
  </si>
  <si>
    <t>G beton totaal</t>
  </si>
  <si>
    <t>G wapening totaal</t>
  </si>
  <si>
    <t>BVO totaal</t>
  </si>
  <si>
    <t>l</t>
  </si>
  <si>
    <t>Type poeren</t>
  </si>
  <si>
    <t>Keuze hoofddraagconstructie-systeem</t>
  </si>
  <si>
    <t>A=l*b</t>
  </si>
  <si>
    <t>Fd paal</t>
  </si>
  <si>
    <t>V = A*l paal</t>
  </si>
  <si>
    <t>Pd_dak</t>
  </si>
  <si>
    <t>x1 factoren:</t>
  </si>
  <si>
    <t>x2</t>
  </si>
  <si>
    <t>x3</t>
  </si>
  <si>
    <t>Fd_paal</t>
  </si>
  <si>
    <t>Fd_gebouw (Fd_totaal*x1*x2*x3)</t>
  </si>
  <si>
    <t>stuks</t>
  </si>
  <si>
    <t>Hoogte kern</t>
  </si>
  <si>
    <t>%</t>
  </si>
  <si>
    <t>Paaleigenschappen</t>
  </si>
  <si>
    <t>Belasting uit vloeren</t>
  </si>
  <si>
    <t>verdiepingen</t>
  </si>
  <si>
    <r>
      <t>b sloof (q/</t>
    </r>
    <r>
      <rPr>
        <sz val="9"/>
        <color theme="1"/>
        <rFont val="Calibri"/>
        <family val="2"/>
      </rPr>
      <t>σ</t>
    </r>
    <r>
      <rPr>
        <sz val="7.65"/>
        <color theme="1"/>
        <rFont val="Arial"/>
        <family val="2"/>
      </rPr>
      <t>)</t>
    </r>
  </si>
  <si>
    <r>
      <t>maximaal toelaatbare grondspanning (</t>
    </r>
    <r>
      <rPr>
        <sz val="9"/>
        <color theme="1"/>
        <rFont val="Calibri"/>
        <family val="2"/>
      </rPr>
      <t>σ)</t>
    </r>
  </si>
  <si>
    <t>[mm2]</t>
  </si>
  <si>
    <t>[kg/m3]</t>
  </si>
  <si>
    <t>Uitgangspunten</t>
  </si>
  <si>
    <t>Belastingen</t>
  </si>
  <si>
    <t>Eindresultaat</t>
  </si>
  <si>
    <t>Primaire liggers</t>
  </si>
  <si>
    <t>Secundaire liggers</t>
  </si>
  <si>
    <t>Pd_SLS (uit tabblad algemeen)</t>
  </si>
  <si>
    <t>Pd_ULS (uit tabblad algemeen)</t>
  </si>
  <si>
    <t>Berekeningen</t>
  </si>
  <si>
    <t>Verdiepingsvloeren afwijkend</t>
  </si>
  <si>
    <t>Verdiepingsvloeren standaard</t>
  </si>
  <si>
    <t>Materiaalkeuze</t>
  </si>
  <si>
    <t>STALEN LIGGERS PRIMAIR</t>
  </si>
  <si>
    <t>STALEN LIGGERS SECUNDAIR</t>
  </si>
  <si>
    <t>BETONNEN LIGGERS PRIMAIR</t>
  </si>
  <si>
    <t>GELAMINEERDE HOUTEN LIGGERS PRIMAIR</t>
  </si>
  <si>
    <t>BETONNEN LIGGERS SECUNDAIR</t>
  </si>
  <si>
    <t>FUNDERINGSBALKEN OF -SLOVEN</t>
  </si>
  <si>
    <t>Fyd</t>
  </si>
  <si>
    <t>situatie 1</t>
  </si>
  <si>
    <t>situatie 2</t>
  </si>
  <si>
    <t>situatie 3</t>
  </si>
  <si>
    <t>daaruit volgt situatie (zie afbeelding):</t>
  </si>
  <si>
    <t>L_vloer</t>
  </si>
  <si>
    <t xml:space="preserve">q_PL = P_vloer x L_vloer </t>
  </si>
  <si>
    <t>primaire ligger (PL)</t>
  </si>
  <si>
    <t>secundaire ligger (SL)</t>
  </si>
  <si>
    <t>q_SL = nvt</t>
  </si>
  <si>
    <t>q_SL = eigen gewicht (aanname 2kN/m)</t>
  </si>
  <si>
    <t>q_PL = P_vloer x L_SL</t>
  </si>
  <si>
    <t>q_SL = P_vloer x (L_PL / n_velden)</t>
  </si>
  <si>
    <t>q_PL = P_vloer x L_vloer</t>
  </si>
  <si>
    <t>q_PL situatie 1 = Pd_SLS * L_vloer</t>
  </si>
  <si>
    <t>q_PL situatie 2 = Pd_SLS * L_vloer</t>
  </si>
  <si>
    <t>q_SL situatie 2 = eigen gewicht (aanname)</t>
  </si>
  <si>
    <t>q_SL situatie 1  = nvt</t>
  </si>
  <si>
    <t>L_PL / n</t>
  </si>
  <si>
    <t>q_SL situatie 3 = Pd_SLS * (L_PL / n)</t>
  </si>
  <si>
    <t>M_PL = 1/8 * q_PL * L_PL^2</t>
  </si>
  <si>
    <t>q_PL situatie 3 = Pd_SLS * L_SL</t>
  </si>
  <si>
    <t>M_SL = 1/8 * q_SL * L_SL^2</t>
  </si>
  <si>
    <t>q_PL situatie 2 = Pd_ULS * L_vloer</t>
  </si>
  <si>
    <t>q_PL situatie 3 = Pd_ULS * L_SL</t>
  </si>
  <si>
    <t>q_SL situatie 3 = Pd_ULS * (L_PL / n)</t>
  </si>
  <si>
    <t>q_PL situatie 1 = Pd_ULS * L_vloer</t>
  </si>
  <si>
    <t>SLS (uiterste grens toestand - tbv vervormingen)</t>
  </si>
  <si>
    <t>ULS (uiterste grens toestand)</t>
  </si>
  <si>
    <t>Wy_benodigd = M_PL_ULS / Fyd</t>
  </si>
  <si>
    <t>Iy_benodigd = (5*q_PL_SLS*L_PL^4) / (384E*0,04*L_PL)</t>
  </si>
  <si>
    <t>GELAMINEERDE HOUTEN LIGGERS SECUNDAIR</t>
  </si>
  <si>
    <t>GELAMINEERDER HOUTEN LIGGERS</t>
  </si>
  <si>
    <t>STALEN LIGGERS</t>
  </si>
  <si>
    <t>P</t>
  </si>
  <si>
    <t>hoeveelheid staal totaal</t>
  </si>
  <si>
    <t>Lengte secundaire liggers (per bouwlaag)</t>
  </si>
  <si>
    <t>Lengte primaire liggers (per bouwlaag)</t>
  </si>
  <si>
    <t>hoeveelheid staal per m2 vloeroppervlak</t>
  </si>
  <si>
    <t xml:space="preserve">totale lengte liggers </t>
  </si>
  <si>
    <t>HOOFDCATEGORIE</t>
  </si>
  <si>
    <t>SPECIFICATIE 1</t>
  </si>
  <si>
    <t>MATERIAAL-EIGENSCHAPPEN 1</t>
  </si>
  <si>
    <t>SPECIFICATIE 2</t>
  </si>
  <si>
    <t>MATERIAAL-EIGENSCHAPPEN 2</t>
  </si>
  <si>
    <t>SPECIFICATIE 3</t>
  </si>
  <si>
    <t>MATERIAAL-EIGENSCHAPPEN 3</t>
  </si>
  <si>
    <t>productUITKOMST BHH</t>
  </si>
  <si>
    <t>productUITKOMST BHH GEWENST - AANSLUITING NMD</t>
  </si>
  <si>
    <t>Prefab palen</t>
  </si>
  <si>
    <t>prefab;xc4;s2</t>
  </si>
  <si>
    <t>zwaar (wapening)</t>
  </si>
  <si>
    <t>Is voor palen de uitkomst in kg/m1 paal gewenst?</t>
  </si>
  <si>
    <t>Trillingsarm aangebrachte palen</t>
  </si>
  <si>
    <t>gietbouw;xc4;s2</t>
  </si>
  <si>
    <t>funderingsbalken</t>
  </si>
  <si>
    <t>poeren</t>
  </si>
  <si>
    <t>omzetten</t>
  </si>
  <si>
    <t>[x] m2 kanaalplaat [h;leverancier]</t>
  </si>
  <si>
    <t>gietbouw;xc1</t>
  </si>
  <si>
    <t>[x] kg/m2</t>
  </si>
  <si>
    <t>[x] m2 bollenplaat [h;leverancier]</t>
  </si>
  <si>
    <t>vuren</t>
  </si>
  <si>
    <t>licht</t>
  </si>
  <si>
    <t>Kolom beton</t>
  </si>
  <si>
    <t>Kolom staal</t>
  </si>
  <si>
    <t>Kolom hout</t>
  </si>
  <si>
    <t>Ligger beton</t>
  </si>
  <si>
    <t>Ligger staal</t>
  </si>
  <si>
    <t>Ligger hout</t>
  </si>
  <si>
    <t>Wand beton</t>
  </si>
  <si>
    <t>Wand hout</t>
  </si>
  <si>
    <t>Wand kalkzandsteen</t>
  </si>
  <si>
    <t>FUNDERINGSPALEN</t>
  </si>
  <si>
    <t>BEGANE GROND VLOER</t>
  </si>
  <si>
    <t>VERDIEPINGSVLOER AFWIJKEND</t>
  </si>
  <si>
    <t>VERDIEPINGSVLOER STANDAARD</t>
  </si>
  <si>
    <t>KOLOMMEN</t>
  </si>
  <si>
    <t>LIGGERS</t>
  </si>
  <si>
    <t>WANDEN</t>
  </si>
  <si>
    <t>funderingsloven</t>
  </si>
  <si>
    <t>TOTAALOVERZICHT MATERIALEN HOOFDDRAAGCONSTRUCTIE AANSLUITING NATIONALE MILIEUDATABASE</t>
  </si>
  <si>
    <t>PRODUCTKAART</t>
  </si>
  <si>
    <t>PRODUCTKAART ALS ÉÉN PRODUCT</t>
  </si>
  <si>
    <t>HVH</t>
  </si>
  <si>
    <t>gewalst staal S460</t>
  </si>
  <si>
    <t>S460</t>
  </si>
  <si>
    <t>liggers primair vloer standaard</t>
  </si>
  <si>
    <t>ligger secundair vloer standaard</t>
  </si>
  <si>
    <t>liggers primair vloer afwijkend</t>
  </si>
  <si>
    <t>ligger secundair vloer afwijkend</t>
  </si>
  <si>
    <t>liggers primair dakvloer</t>
  </si>
  <si>
    <t>ligger secundair dakvloer</t>
  </si>
  <si>
    <t>gewalst staal</t>
  </si>
  <si>
    <t>IPE300 - 1200</t>
  </si>
  <si>
    <t>IPE500 - 1200</t>
  </si>
  <si>
    <t>HEA100</t>
  </si>
  <si>
    <t>HEA120</t>
  </si>
  <si>
    <t>HEB100</t>
  </si>
  <si>
    <t>HEA140</t>
  </si>
  <si>
    <t>HEB120</t>
  </si>
  <si>
    <t>HEA160</t>
  </si>
  <si>
    <t>HEB140</t>
  </si>
  <si>
    <t>HEA180</t>
  </si>
  <si>
    <t>HEA200</t>
  </si>
  <si>
    <t>HEB160</t>
  </si>
  <si>
    <t>HEA220</t>
  </si>
  <si>
    <t>HEB180</t>
  </si>
  <si>
    <t>HEA240</t>
  </si>
  <si>
    <t>HEB200</t>
  </si>
  <si>
    <t>HEA260</t>
  </si>
  <si>
    <t>HEB220</t>
  </si>
  <si>
    <t>HEA280</t>
  </si>
  <si>
    <t>HEB240</t>
  </si>
  <si>
    <t>HEA300</t>
  </si>
  <si>
    <t>HEB260</t>
  </si>
  <si>
    <t>HEA320</t>
  </si>
  <si>
    <t>HEB280</t>
  </si>
  <si>
    <t>HEA340</t>
  </si>
  <si>
    <t>HEA360</t>
  </si>
  <si>
    <t>HEB300</t>
  </si>
  <si>
    <t>HEA400</t>
  </si>
  <si>
    <t>HEB320</t>
  </si>
  <si>
    <t>HEB340</t>
  </si>
  <si>
    <t>HEA450</t>
  </si>
  <si>
    <t>HEB360</t>
  </si>
  <si>
    <t>HEA500</t>
  </si>
  <si>
    <t>HEB400</t>
  </si>
  <si>
    <t>HEA550</t>
  </si>
  <si>
    <t>HEB450</t>
  </si>
  <si>
    <t>HEA600</t>
  </si>
  <si>
    <t>HEB500</t>
  </si>
  <si>
    <t>HEA650</t>
  </si>
  <si>
    <t>HEB550</t>
  </si>
  <si>
    <t>HEA700</t>
  </si>
  <si>
    <t>HEB600</t>
  </si>
  <si>
    <t>HEA800</t>
  </si>
  <si>
    <t>HEB650</t>
  </si>
  <si>
    <t>HEB700</t>
  </si>
  <si>
    <t>HEA900</t>
  </si>
  <si>
    <t>HEB800</t>
  </si>
  <si>
    <t>HEA1000</t>
  </si>
  <si>
    <t>HEB900</t>
  </si>
  <si>
    <t>HEB1000</t>
  </si>
  <si>
    <t>RESULTATEN IN HVH / BVO</t>
  </si>
  <si>
    <t>HVH / BVO</t>
  </si>
  <si>
    <t>[x] HVH / BVO</t>
  </si>
  <si>
    <t>Druklaag</t>
  </si>
  <si>
    <t>Breedplaat</t>
  </si>
  <si>
    <t>Breedplaat - Prefab beton</t>
  </si>
  <si>
    <t>Druklaag - Beton ihwg</t>
  </si>
  <si>
    <t>Licht</t>
  </si>
  <si>
    <t>Middel</t>
  </si>
  <si>
    <t>Zwaar</t>
  </si>
  <si>
    <t>Wap BP</t>
  </si>
  <si>
    <t>Wap DL</t>
  </si>
  <si>
    <t>ø10-150</t>
  </si>
  <si>
    <t>ø12-150</t>
  </si>
  <si>
    <t>ø16-150</t>
  </si>
  <si>
    <t>BP</t>
  </si>
  <si>
    <t>#ø10-150</t>
  </si>
  <si>
    <t>#ø12-150</t>
  </si>
  <si>
    <t>#ø16-150</t>
  </si>
  <si>
    <t>Totale hoeveelheid wapening incl. verdeelwapening en lassen</t>
  </si>
  <si>
    <t>massieve plaatvloer + druklaag</t>
  </si>
  <si>
    <t>dikte druklaag [mm]</t>
  </si>
  <si>
    <t>Dikte</t>
  </si>
  <si>
    <t>Eigen gewicht</t>
  </si>
  <si>
    <t>PB incl</t>
  </si>
  <si>
    <t>Uitgangspunt: Ligger op 2 steunpunten</t>
  </si>
  <si>
    <t>VB</t>
  </si>
  <si>
    <t>Qed</t>
  </si>
  <si>
    <t>Uitganspunt: Comflor 100</t>
  </si>
  <si>
    <t>Staalplaat met isolatie en opstorting</t>
  </si>
  <si>
    <t>prefab schil d=70</t>
  </si>
  <si>
    <t>beton ihwg 15% red.</t>
  </si>
  <si>
    <t>Massieve houten plaatvloer</t>
  </si>
  <si>
    <t>m (vloerdikte reeel)</t>
  </si>
  <si>
    <t>hoogte balklaag mm</t>
  </si>
  <si>
    <t>Belasting verdiepingsvloer standaard</t>
  </si>
  <si>
    <t>Aantal lagen verdiepingsvloer standaard</t>
  </si>
  <si>
    <t>Belasting dakvloer</t>
  </si>
  <si>
    <t>Totale gemiddelde rekenwaarde belasting</t>
  </si>
  <si>
    <t>Belasting verdiepingsvloer afwijkend</t>
  </si>
  <si>
    <t>Hoofddraagconstructie-systeem</t>
  </si>
  <si>
    <t>Gegevens bouwlagen</t>
  </si>
  <si>
    <t>Type ligger</t>
  </si>
  <si>
    <t>IPE</t>
  </si>
  <si>
    <t>HEA</t>
  </si>
  <si>
    <t>HEB</t>
  </si>
  <si>
    <t>Type kolom</t>
  </si>
  <si>
    <t>Koker</t>
  </si>
  <si>
    <t>Aantal bouwlagen en gebruiksfunctie</t>
  </si>
  <si>
    <t>Afwijkende oppervlakte</t>
  </si>
  <si>
    <t>oppervlakte per bouwlaag</t>
  </si>
  <si>
    <t>Afwijkende oppervlakte?</t>
  </si>
  <si>
    <t>Oppervlakte begane grond vloer</t>
  </si>
  <si>
    <t>Oppervlakte verdiepingsvloeren</t>
  </si>
  <si>
    <t>+10</t>
  </si>
  <si>
    <t>+25</t>
  </si>
  <si>
    <t>+50</t>
  </si>
  <si>
    <t>+75</t>
  </si>
  <si>
    <t>+100</t>
  </si>
  <si>
    <t>-100</t>
  </si>
  <si>
    <t>-75</t>
  </si>
  <si>
    <t>-50</t>
  </si>
  <si>
    <t>-25</t>
  </si>
  <si>
    <t>-10</t>
  </si>
  <si>
    <r>
      <t>kg/m</t>
    </r>
    <r>
      <rPr>
        <i/>
        <vertAlign val="superscript"/>
        <sz val="9"/>
        <color indexed="8"/>
        <rFont val="Arial"/>
        <family val="2"/>
      </rPr>
      <t>2</t>
    </r>
  </si>
  <si>
    <r>
      <t>kg/m</t>
    </r>
    <r>
      <rPr>
        <i/>
        <vertAlign val="superscript"/>
        <sz val="9"/>
        <color theme="1"/>
        <rFont val="Arial"/>
        <family val="2"/>
      </rPr>
      <t>2</t>
    </r>
  </si>
  <si>
    <t>verlaagd plafond bovenste bouwlaag</t>
  </si>
  <si>
    <t>secundaire liggers toepassen?</t>
  </si>
  <si>
    <t>verlaagd plafond</t>
  </si>
  <si>
    <t>scheidingswanden</t>
  </si>
  <si>
    <t>Voorkeursprofiel:</t>
  </si>
  <si>
    <t>Voorkeursprofiel</t>
  </si>
  <si>
    <t>150x5-190x15-400x12</t>
    <phoneticPr fontId="67" type="noConversion"/>
  </si>
  <si>
    <t>150x5-240x20-450x15</t>
    <phoneticPr fontId="67" type="noConversion"/>
  </si>
  <si>
    <t>150x5-290x25-500x15</t>
    <phoneticPr fontId="67" type="noConversion"/>
  </si>
  <si>
    <t>200x5-190x20-420x12</t>
    <phoneticPr fontId="67" type="noConversion"/>
  </si>
  <si>
    <t>200x5-240x25-470x15</t>
    <phoneticPr fontId="67" type="noConversion"/>
  </si>
  <si>
    <t>200x5-290x30-520x20</t>
    <phoneticPr fontId="67" type="noConversion"/>
  </si>
  <si>
    <t>260x6-190x25-450x15</t>
    <phoneticPr fontId="67" type="noConversion"/>
  </si>
  <si>
    <t>260x6-240x30-500x20</t>
    <phoneticPr fontId="67" type="noConversion"/>
  </si>
  <si>
    <t>260x6-290x35-550x15</t>
    <phoneticPr fontId="67" type="noConversion"/>
  </si>
  <si>
    <t>320x8-190x25-470x15</t>
    <phoneticPr fontId="67" type="noConversion"/>
  </si>
  <si>
    <t>320x8-240x30-520x15</t>
    <phoneticPr fontId="67" type="noConversion"/>
  </si>
  <si>
    <t>320x8-290x30-570x20</t>
    <phoneticPr fontId="67" type="noConversion"/>
  </si>
  <si>
    <t>THQ</t>
  </si>
  <si>
    <t>SFB</t>
  </si>
  <si>
    <t>HEB140-340x10</t>
  </si>
  <si>
    <t>HEA160-360x15</t>
  </si>
  <si>
    <t>HEB160-360x20</t>
  </si>
  <si>
    <t>HEB180-400x12</t>
  </si>
  <si>
    <t>HEB200-420x12</t>
  </si>
  <si>
    <t>HEB220-440x20</t>
  </si>
  <si>
    <t>HEB240-480x15</t>
  </si>
  <si>
    <t>HEB260-500x20</t>
  </si>
  <si>
    <t>HEB280-520x25</t>
  </si>
  <si>
    <t>HEB300-560x15</t>
  </si>
  <si>
    <t>HEB320-560x25</t>
  </si>
  <si>
    <t>HEB340-560x30</t>
  </si>
  <si>
    <t>bijbehorende profielen</t>
  </si>
  <si>
    <t>maximum bereikt</t>
  </si>
  <si>
    <t>hoogte vloer totaal mm</t>
  </si>
  <si>
    <t>h balk</t>
  </si>
  <si>
    <t>h vloer</t>
  </si>
  <si>
    <t xml:space="preserve">kan niet </t>
  </si>
  <si>
    <t>STALEN KOLOMMEN</t>
  </si>
  <si>
    <t>KOKER</t>
  </si>
  <si>
    <t>50x3 (K S235)</t>
  </si>
  <si>
    <t>60x3 (K S235)</t>
  </si>
  <si>
    <t>70x4 (K S235)</t>
  </si>
  <si>
    <t>80x4 (K S235)</t>
  </si>
  <si>
    <t>90x5 (K S235)</t>
  </si>
  <si>
    <t>100x6 (K S235)</t>
  </si>
  <si>
    <t>50x2.9 (W S355,S460)</t>
  </si>
  <si>
    <t>60x4 (W S355,S460)</t>
  </si>
  <si>
    <t>70x4 (W S355,S460)</t>
  </si>
  <si>
    <t>80x4 (W S355,S460)</t>
  </si>
  <si>
    <t>90x5 (W S355,S460)</t>
  </si>
  <si>
    <t>100x6.3 (W S355,S460)</t>
  </si>
  <si>
    <t>120x5 (K S355,S460)</t>
  </si>
  <si>
    <t>140x6 (K S355,S460)</t>
  </si>
  <si>
    <t>150x6 (K S355,S460)</t>
  </si>
  <si>
    <t>160x6 (K S355,S460)</t>
  </si>
  <si>
    <t>180x8 (K S355,S460)</t>
  </si>
  <si>
    <t>200x8 (K S355,S460)</t>
  </si>
  <si>
    <t>220x8 (K S355,S460)</t>
  </si>
  <si>
    <t>250x8 (K S355,S460)</t>
  </si>
  <si>
    <t>300x8 (K S355,S460)</t>
  </si>
  <si>
    <t>350x10 (K S355,S460)</t>
  </si>
  <si>
    <t>400x10 (K S355,S460)</t>
  </si>
  <si>
    <t>materiaalkeuze en voorkeursprofiel</t>
  </si>
  <si>
    <t>materiaalkeuze</t>
  </si>
  <si>
    <t>Materialen kolommen</t>
  </si>
  <si>
    <t>materiaal + kwaliteit voorkeursprofiel</t>
  </si>
  <si>
    <t>keuze hoofddraagconstructie:</t>
  </si>
  <si>
    <t>Resultaat (on)geschoord skelet</t>
  </si>
  <si>
    <t>Resultaat wanden</t>
  </si>
  <si>
    <t>Algemeen</t>
  </si>
  <si>
    <t>afmetingen kolom als beton</t>
  </si>
  <si>
    <t>afmetingen kolom als staal</t>
  </si>
  <si>
    <t>voorkeursprofiel (als staal)</t>
  </si>
  <si>
    <t>afmetingen kolom als hout</t>
  </si>
  <si>
    <t>N/mm3</t>
  </si>
  <si>
    <t>N/mm4</t>
  </si>
  <si>
    <t>F kolom extreem</t>
  </si>
  <si>
    <t>F kolom gereduceerd</t>
  </si>
  <si>
    <t>factor</t>
  </si>
  <si>
    <t>OPHOGING BELASTING INDIEN ONGESCHOORD</t>
  </si>
  <si>
    <t>IN REKENING TE BRENGEN FACTOREN</t>
  </si>
  <si>
    <t>REDUCTIE EXTREME BELASTING COMBINATIE</t>
  </si>
  <si>
    <t>HOUT</t>
  </si>
  <si>
    <t>STAAL</t>
  </si>
  <si>
    <t>BETON</t>
  </si>
  <si>
    <t>HOUTEN KOLOMMEN</t>
  </si>
  <si>
    <t>GELAMINEERD HOUT</t>
  </si>
  <si>
    <t>NAALDHOUT</t>
  </si>
  <si>
    <t>reductiefactor belasting</t>
  </si>
  <si>
    <t>strekkende meter kolom totaal</t>
  </si>
  <si>
    <t>lengte wanden</t>
  </si>
  <si>
    <t>MATERIAAL GEGEVENS (aanname eigen gewicht t.b.v. wandberekening)</t>
  </si>
  <si>
    <t>rekenwaarde lijnlast</t>
  </si>
  <si>
    <t>m3 kzs / m2 BVO</t>
  </si>
  <si>
    <t>m3 beton / m2 BVO</t>
  </si>
  <si>
    <t>Houtskeletbouw</t>
  </si>
  <si>
    <t>Xgebouw = Lx * (nx-1)</t>
  </si>
  <si>
    <t>stramienmaat x (Lx)</t>
  </si>
  <si>
    <t>aantal stramienen x (nx)</t>
  </si>
  <si>
    <t>stramienmaat y (Ly)</t>
  </si>
  <si>
    <t>aantal stramienen y (ny)</t>
  </si>
  <si>
    <t>factor 2e orde</t>
  </si>
  <si>
    <t>P wind</t>
  </si>
  <si>
    <t>n bouwlagen</t>
  </si>
  <si>
    <t>Hgebouw</t>
  </si>
  <si>
    <t>Hgebouw afgerond</t>
  </si>
  <si>
    <t>q;wind x (Pd wind * Ygebouw)</t>
  </si>
  <si>
    <t>q;wind y (Pd wind * Xgebouw)</t>
  </si>
  <si>
    <t>keuze hoofddraagconstructie-systeem x</t>
  </si>
  <si>
    <t>keuze hoofddraagconstructie-systeem y</t>
  </si>
  <si>
    <t>materiaal stabiliteitsvoorziening x</t>
  </si>
  <si>
    <t>gebouwgebonden parameters</t>
  </si>
  <si>
    <r>
      <t xml:space="preserve">A-staal = (Fd * </t>
    </r>
    <r>
      <rPr>
        <sz val="9"/>
        <color theme="1"/>
        <rFont val="Calibri"/>
        <family val="2"/>
      </rPr>
      <t>√</t>
    </r>
    <r>
      <rPr>
        <sz val="9"/>
        <color theme="1"/>
        <rFont val="Arial"/>
        <family val="2"/>
      </rPr>
      <t>2) / fy_d</t>
    </r>
  </si>
  <si>
    <t>fy_d</t>
  </si>
  <si>
    <t>x reductie</t>
  </si>
  <si>
    <t>Pd wind (Pwind * cpe * factor 2e orde)</t>
  </si>
  <si>
    <t xml:space="preserve">I-benodigd &gt; (q * h gebouw ^3 *125) / E </t>
  </si>
  <si>
    <t>lengte benodigd per wand = (I ben / (1/12 * n wanden * b wand)) ^1/3</t>
  </si>
  <si>
    <t>B wand (dikte)</t>
  </si>
  <si>
    <t>ρbeton</t>
  </si>
  <si>
    <r>
      <t>V beton = (</t>
    </r>
    <r>
      <rPr>
        <sz val="9"/>
        <color theme="1"/>
        <rFont val="Arial"/>
        <family val="2"/>
      </rPr>
      <t>Lwand * Bwand * Hgebouw * n wanden)</t>
    </r>
  </si>
  <si>
    <t>windverbanden x</t>
  </si>
  <si>
    <t>windverbanden y</t>
  </si>
  <si>
    <t>stabiliteit wanden x</t>
  </si>
  <si>
    <t>wapening wanden x</t>
  </si>
  <si>
    <t>stabiliteit wanden y</t>
  </si>
  <si>
    <t>wapening wanden y</t>
  </si>
  <si>
    <t>stabiliteit kern x</t>
  </si>
  <si>
    <t>wapening kern x</t>
  </si>
  <si>
    <t>stabiliteit kern y</t>
  </si>
  <si>
    <t>wapening kern y</t>
  </si>
  <si>
    <t>Wanddikte bij gebouwhoogte</t>
  </si>
  <si>
    <t>H gebouw</t>
  </si>
  <si>
    <t xml:space="preserve">I-benodigd y &gt; (q * h gebouw ^3 *125) / E </t>
  </si>
  <si>
    <t xml:space="preserve">I-benodigd x &gt; (q * h gebouw ^3 *125) / E </t>
  </si>
  <si>
    <t>B kern</t>
  </si>
  <si>
    <t>materiaal x-richting</t>
  </si>
  <si>
    <t>materiaal y-richting</t>
  </si>
  <si>
    <t>B kern y benodigd</t>
  </si>
  <si>
    <t>B kern x benodigd</t>
  </si>
  <si>
    <t>V beton = A-kern * Hgebouw</t>
  </si>
  <si>
    <t>Gwapening / BVO = (V beton * wap/m3) / BVO</t>
  </si>
  <si>
    <t>Gbeton / BVO = (V beton * ρbeton) / BVO</t>
  </si>
  <si>
    <t>A kern = Bx * By - (Bx - 2 * Dwand) * (Bx - 2 * Bwand)* n kernen</t>
  </si>
  <si>
    <t>y-richting:</t>
  </si>
  <si>
    <t>A kern = 2 * B kern * B wand * n kernen</t>
  </si>
  <si>
    <t>V beton = A kern* Hgebouw</t>
  </si>
  <si>
    <t>x-richting:</t>
  </si>
  <si>
    <t>Rekenwaarde belasting ULS BG</t>
  </si>
  <si>
    <t>Rekenwaarde belasting ULS verdieping standaard</t>
  </si>
  <si>
    <t>Rekenwaarde belasting ULS verdieping afwijkend</t>
  </si>
  <si>
    <t>Fd_totaal</t>
  </si>
  <si>
    <t>n palen onder kern/kernen (omtrek kern / 1,5m h.o.h.)</t>
  </si>
  <si>
    <t>STALEN VAKWERK LIGGERS PRIMAIR</t>
  </si>
  <si>
    <t>M_d</t>
  </si>
  <si>
    <t>q_d</t>
  </si>
  <si>
    <t>Randstaven</t>
  </si>
  <si>
    <t>L_vakwerk</t>
  </si>
  <si>
    <t>F_randstaaf = M_d / H_vak</t>
  </si>
  <si>
    <t>H_vakwerk = 1/15 * L</t>
  </si>
  <si>
    <t>A_randstaaf = F_r / Fyd</t>
  </si>
  <si>
    <t>KOKER tbv vakwerken</t>
  </si>
  <si>
    <t>G_randstaaf</t>
  </si>
  <si>
    <t>Wandstaven</t>
  </si>
  <si>
    <t>F_wandstaaf = 1/2 * q_d * L_vak * √2</t>
  </si>
  <si>
    <t>A_wandstaaf = F_w / Fyd</t>
  </si>
  <si>
    <t>stalen vakwerk</t>
  </si>
  <si>
    <t>Gvloer</t>
  </si>
  <si>
    <t>Totale belasting begane grondvloer</t>
  </si>
  <si>
    <t>Pd_s</t>
  </si>
  <si>
    <t>Type begane grondvloer</t>
  </si>
  <si>
    <t>Lvloer</t>
  </si>
  <si>
    <t>Vloertype</t>
  </si>
  <si>
    <t>Vloerdikte</t>
  </si>
  <si>
    <t>wapeningsstaal druklaag</t>
  </si>
  <si>
    <t>gewichtsbesparende betonvloer</t>
  </si>
  <si>
    <t>Houten balklaag C24</t>
  </si>
  <si>
    <t>C24</t>
  </si>
  <si>
    <t>Naaldhout C24</t>
  </si>
  <si>
    <t>geschaafd vuren C24</t>
  </si>
  <si>
    <t>Beschot 18mm berken multiplex</t>
  </si>
  <si>
    <t>Gvloer [kg/m2]</t>
  </si>
  <si>
    <t>Vloerdikte [mm]</t>
  </si>
  <si>
    <t>Beton ihwg C30/37</t>
  </si>
  <si>
    <t>beton ihwg C30/37</t>
  </si>
  <si>
    <t>beton C30/37 kg/m2 70mm</t>
  </si>
  <si>
    <t>C30/37</t>
  </si>
  <si>
    <t>beton ihwg  C30/37 [kg/m2]</t>
  </si>
  <si>
    <t>Avloer_kolom</t>
  </si>
  <si>
    <t>Lx</t>
  </si>
  <si>
    <t>Ly</t>
  </si>
  <si>
    <t>n_bouwlagen</t>
  </si>
  <si>
    <t>h_verdieping</t>
  </si>
  <si>
    <t>SKELET - LIGGERS PRIM. VLOER STD.</t>
  </si>
  <si>
    <t>SKELET - LIGGERS SEC. VLOER STD.</t>
  </si>
  <si>
    <t>SKELET - LIGGERS SEC. VLOER AFW.</t>
  </si>
  <si>
    <t>SKELET - LIGGERS PRIMAIR DAK</t>
  </si>
  <si>
    <t>SKELET - LIGGERS SECUNDAIR DAK</t>
  </si>
  <si>
    <t>SKELET - WANDEN/KOLOMMEN</t>
  </si>
  <si>
    <t>STABILITEIT X-RICHTING</t>
  </si>
  <si>
    <t>STABILITEIT Y-RICHTING</t>
  </si>
  <si>
    <t>b_kolom_afgerond</t>
  </si>
  <si>
    <t>b_kolom = √(A_ben) &gt; 200mm</t>
  </si>
  <si>
    <t>A_wapening = A_ben * 2%</t>
  </si>
  <si>
    <t>A_beton_werkelijk = b ^2</t>
  </si>
  <si>
    <t>160*160</t>
  </si>
  <si>
    <t>180*180</t>
  </si>
  <si>
    <t>200*200</t>
  </si>
  <si>
    <t>200*320</t>
  </si>
  <si>
    <t>200*400</t>
  </si>
  <si>
    <t>A_gekozen_profiel</t>
  </si>
  <si>
    <t>G_hout</t>
  </si>
  <si>
    <t>G_hout_BVO</t>
  </si>
  <si>
    <t>ρ eigen gewicht</t>
  </si>
  <si>
    <t>L_vloer_wand</t>
  </si>
  <si>
    <t>q_wand_totaal</t>
  </si>
  <si>
    <t>q_wand_totaal_bouwlaag totaal per bouwlaag</t>
  </si>
  <si>
    <t>q_wand_vloer</t>
  </si>
  <si>
    <t>q_wand_eigen</t>
  </si>
  <si>
    <t>G_wapening</t>
  </si>
  <si>
    <t xml:space="preserve">d_wand </t>
  </si>
  <si>
    <t>d_wand_ben</t>
  </si>
  <si>
    <t>G_wapening _BVO</t>
  </si>
  <si>
    <t>G_wand_BVO</t>
  </si>
  <si>
    <t>mm bxh-h.o.h.</t>
  </si>
  <si>
    <t>46*121-300</t>
  </si>
  <si>
    <t>2*46*146-300</t>
  </si>
  <si>
    <t>geen HSB wanden mogelijk</t>
  </si>
  <si>
    <t>2*12,5</t>
  </si>
  <si>
    <t>G_gipsplaat_BVO</t>
  </si>
  <si>
    <t>d_wand</t>
  </si>
  <si>
    <r>
      <t>A</t>
    </r>
    <r>
      <rPr>
        <b/>
        <vertAlign val="subscript"/>
        <sz val="9.5"/>
        <color theme="1"/>
        <rFont val="Arial"/>
        <family val="2"/>
      </rPr>
      <t>stijlen</t>
    </r>
  </si>
  <si>
    <r>
      <t>q</t>
    </r>
    <r>
      <rPr>
        <b/>
        <vertAlign val="subscript"/>
        <sz val="9.5"/>
        <color theme="1"/>
        <rFont val="Arial"/>
        <family val="2"/>
      </rPr>
      <t>d_max</t>
    </r>
  </si>
  <si>
    <t>b_stijl</t>
  </si>
  <si>
    <t>h_stijl</t>
  </si>
  <si>
    <t>h.o.h_stijlen</t>
  </si>
  <si>
    <t>G_BVO</t>
  </si>
  <si>
    <t>L_randbalk = 2*Lx*(nx-1)+2*Ly*(ny-1)</t>
  </si>
  <si>
    <r>
      <rPr>
        <b/>
        <sz val="9"/>
        <color theme="1"/>
        <rFont val="Calibri"/>
        <family val="2"/>
      </rPr>
      <t>G_w</t>
    </r>
    <r>
      <rPr>
        <b/>
        <sz val="9"/>
        <color theme="1"/>
        <rFont val="Arial"/>
        <family val="2"/>
      </rPr>
      <t>apening</t>
    </r>
  </si>
  <si>
    <r>
      <rPr>
        <b/>
        <sz val="9"/>
        <color theme="1"/>
        <rFont val="Calibri"/>
        <family val="2"/>
      </rPr>
      <t>ρ_</t>
    </r>
    <r>
      <rPr>
        <b/>
        <sz val="9"/>
        <color theme="1"/>
        <rFont val="Arial"/>
        <family val="2"/>
      </rPr>
      <t>beton</t>
    </r>
  </si>
  <si>
    <t>b_middenbalk</t>
  </si>
  <si>
    <t>h_middenbalk</t>
  </si>
  <si>
    <t>A = b_middenbalk*h_middenbalk</t>
  </si>
  <si>
    <t>V totaal = L_middenbalk*A</t>
  </si>
  <si>
    <t>A = b_randbalk*h_randbalk</t>
  </si>
  <si>
    <t>V totaal = L_randbalk*A</t>
  </si>
  <si>
    <t>b_randbalk</t>
  </si>
  <si>
    <t>h_randbalk</t>
  </si>
  <si>
    <t>ρ_beton</t>
  </si>
  <si>
    <r>
      <rPr>
        <sz val="9"/>
        <color theme="1"/>
        <rFont val="Calibri"/>
        <family val="2"/>
      </rPr>
      <t>G_w</t>
    </r>
    <r>
      <rPr>
        <sz val="9"/>
        <color theme="1"/>
        <rFont val="Arial"/>
        <family val="2"/>
      </rPr>
      <t>apening</t>
    </r>
  </si>
  <si>
    <t>b_poer</t>
  </si>
  <si>
    <t>h_poer</t>
  </si>
  <si>
    <t>L_poer</t>
  </si>
  <si>
    <t>V = L*b*h</t>
  </si>
  <si>
    <t>G_beton = V*ρ_beton</t>
  </si>
  <si>
    <t>G_wapening = V*G_wapening</t>
  </si>
  <si>
    <t>G_beton_BVO</t>
  </si>
  <si>
    <t>G_wapening_BVO</t>
  </si>
  <si>
    <t>G_beton (V*ρ)</t>
  </si>
  <si>
    <t>G_wapening (V*G_wapening)</t>
  </si>
  <si>
    <t>G_beton_BVO_randbalken</t>
  </si>
  <si>
    <t>G_wapening_BVO_randbalken</t>
  </si>
  <si>
    <t>G_beton_BVO_middenbalken</t>
  </si>
  <si>
    <t>G_wapening_BVO_middenbalken</t>
  </si>
  <si>
    <t>G_beton (n*V*ρ)</t>
  </si>
  <si>
    <t>V= l*b*h</t>
  </si>
  <si>
    <t>G_beton = V*ρ</t>
  </si>
  <si>
    <t>G_bvo wapening = G_wapening*n/BVO_totaal</t>
  </si>
  <si>
    <t>G_bvo beton = G_beton*n/BVO_totaal</t>
  </si>
  <si>
    <t>G_beton_BVO = G_beton*n/BVO_totaal</t>
  </si>
  <si>
    <t>G_wapening_BVO = G_wapening*n/BVO_totaal</t>
  </si>
  <si>
    <t xml:space="preserve"> </t>
  </si>
  <si>
    <t>A_BVO_bgg</t>
  </si>
  <si>
    <t>Fd_bg = Pd_e_BG * A_BVO_bgg</t>
  </si>
  <si>
    <t>n_vloeren_std</t>
  </si>
  <si>
    <t>n_vloeren_afw</t>
  </si>
  <si>
    <t>A_BVO_vd_std</t>
  </si>
  <si>
    <t>A_BVO_vd_afw</t>
  </si>
  <si>
    <t>A_BVO_dak</t>
  </si>
  <si>
    <t>Pd_e_bgg</t>
  </si>
  <si>
    <t>Pd_m_bgg</t>
  </si>
  <si>
    <t>Pd_e_vd_std</t>
  </si>
  <si>
    <t>Pd_m_vd_std</t>
  </si>
  <si>
    <t>Pd_e_vd_afw</t>
  </si>
  <si>
    <t>Pd_m_vd_afw</t>
  </si>
  <si>
    <t>Fd_verd_std = n_vloeren_std * Pd_m_vd_std * A_BVO_vd_std</t>
  </si>
  <si>
    <t>Fd_verd_afw = n_vloeren_afw * Pd_m_vd_afw * A_BVO_vd_afw</t>
  </si>
  <si>
    <t>Fd_dak = Pd_dak * A_BVO_dak</t>
  </si>
  <si>
    <r>
      <rPr>
        <b/>
        <sz val="9"/>
        <color theme="1"/>
        <rFont val="Calibri"/>
        <family val="2"/>
      </rPr>
      <t>ρ_</t>
    </r>
    <r>
      <rPr>
        <b/>
        <sz val="9"/>
        <color theme="1"/>
        <rFont val="Arial"/>
        <family val="2"/>
      </rPr>
      <t>wapening</t>
    </r>
  </si>
  <si>
    <r>
      <rPr>
        <b/>
        <sz val="9"/>
        <color theme="1"/>
        <rFont val="Calibri"/>
        <family val="2"/>
      </rPr>
      <t>ω_</t>
    </r>
    <r>
      <rPr>
        <b/>
        <sz val="9"/>
        <color theme="1"/>
        <rFont val="Arial"/>
        <family val="2"/>
      </rPr>
      <t>wapening</t>
    </r>
  </si>
  <si>
    <t>b_kern_x</t>
  </si>
  <si>
    <t>b_kern_y</t>
  </si>
  <si>
    <t>G_staal_BVO</t>
  </si>
  <si>
    <t>G_staal(n*V*ρ*ω)</t>
  </si>
  <si>
    <t>n_palen</t>
  </si>
  <si>
    <t>n_kernen</t>
  </si>
  <si>
    <t>n_palen_kern</t>
  </si>
  <si>
    <t>n_palen_gebouw  (Fd_gebouw / Fd_palen)</t>
  </si>
  <si>
    <t>L_ligger_prim</t>
  </si>
  <si>
    <t>L_ligger_sec</t>
  </si>
  <si>
    <t>n_vloervelden</t>
  </si>
  <si>
    <t>materiaal stabiliteitsvoorziening y</t>
  </si>
  <si>
    <t>A_ben</t>
  </si>
  <si>
    <t>Wy_benodigd = M_SL_ULS / Fyd</t>
  </si>
  <si>
    <t>S355,S460</t>
  </si>
  <si>
    <t>gewalst staal S335</t>
  </si>
  <si>
    <t>Gkolommen</t>
  </si>
  <si>
    <t>Gkolommen_BVO</t>
  </si>
  <si>
    <t xml:space="preserve">G_wapening / BVO = </t>
  </si>
  <si>
    <t xml:space="preserve">G_beton / BVO = </t>
  </si>
  <si>
    <t>G_wapening =  A * ρstaal * H alle kolommen</t>
  </si>
  <si>
    <t>G_beton_werkelijk = A * ρbeton * H alle kolommen</t>
  </si>
  <si>
    <t>lengte wanden totaal</t>
  </si>
  <si>
    <t>hoogte wanden totaal</t>
  </si>
  <si>
    <t>Oppervlaktes totaal (Opp bouwlaag)</t>
  </si>
  <si>
    <t>gewicht liggers per bouwlaag</t>
  </si>
  <si>
    <t>gewicht per BVO</t>
  </si>
  <si>
    <t>G_wandstaaf</t>
  </si>
  <si>
    <t>G_vakwerk / m2 vloeropp = ( 2*G_rand + G_wand * √2 )*L_ligger_totaal / BVO</t>
  </si>
  <si>
    <t>L_middenbalk= (ny-2)*Lx*(nx-1)+(nx-2)*Ly*(ny-1)</t>
  </si>
  <si>
    <t>ρ</t>
  </si>
  <si>
    <t>Standaard</t>
  </si>
  <si>
    <t>Afwijkend</t>
  </si>
  <si>
    <t>Dak</t>
  </si>
  <si>
    <t>Primair</t>
  </si>
  <si>
    <t>Secundair</t>
  </si>
  <si>
    <t>BETONNEN LIGGERS (IHWG of Prefab)</t>
  </si>
  <si>
    <t>Doorsnede</t>
  </si>
  <si>
    <t>m2/m</t>
  </si>
  <si>
    <t>kies hogere staalsterkte</t>
  </si>
  <si>
    <t>Hoogte gebouw</t>
  </si>
  <si>
    <t>wapeningsstaal/m ligger</t>
  </si>
  <si>
    <t>hoeveelheid wapeningsstaal totaal</t>
  </si>
  <si>
    <t>Gwapeningsstaal / BVO = (V beton * wap/m3) / BVO</t>
  </si>
  <si>
    <t>I kern = n kernen * 1/12 * Bkern^4 - 1/12 * (Bkern - 2 * Bwand) * (Bkern - 2 * Bwand)^3</t>
  </si>
  <si>
    <t>Ygebouw = Ly * (ny-1)</t>
  </si>
  <si>
    <r>
      <t xml:space="preserve">G/BVO = (A staal * Hgebouw * </t>
    </r>
    <r>
      <rPr>
        <sz val="9"/>
        <color theme="1"/>
        <rFont val="Calibri"/>
        <family val="2"/>
      </rPr>
      <t>√</t>
    </r>
    <r>
      <rPr>
        <sz val="9"/>
        <color theme="1"/>
        <rFont val="Arial"/>
        <family val="2"/>
      </rPr>
      <t xml:space="preserve">2 * </t>
    </r>
    <r>
      <rPr>
        <sz val="9"/>
        <color theme="1"/>
        <rFont val="Calibri"/>
        <family val="2"/>
      </rPr>
      <t>ρ</t>
    </r>
    <r>
      <rPr>
        <sz val="9"/>
        <color theme="1"/>
        <rFont val="Arial"/>
        <family val="2"/>
      </rPr>
      <t>staal * 2 * x reductie) / BVO</t>
    </r>
  </si>
  <si>
    <t>F-d;wind x (Pd wind * Ygebouw * Hgebouw)</t>
  </si>
  <si>
    <t>F-d;wind y (Pd wind * Xgebouw * Hgebouw)</t>
  </si>
  <si>
    <t>medium</t>
  </si>
  <si>
    <t>zwaar</t>
  </si>
  <si>
    <t>wapeningskeuze</t>
  </si>
  <si>
    <t>opp wanden totaal</t>
  </si>
  <si>
    <t>prefab beton x</t>
  </si>
  <si>
    <t>ihwg beton x</t>
  </si>
  <si>
    <t>prefab beton y</t>
  </si>
  <si>
    <t>ihwg beton y</t>
  </si>
  <si>
    <t>wapeningsstaal x</t>
  </si>
  <si>
    <t>wapeningsstaal y</t>
  </si>
  <si>
    <t>Wapening vloer [kg/m3]</t>
  </si>
  <si>
    <t>Wapening vloer [kg/m2]</t>
  </si>
  <si>
    <t>stabiliteitswanden x</t>
  </si>
  <si>
    <t>stabiliteitswanden y</t>
  </si>
  <si>
    <t>stabiliteitskern x</t>
  </si>
  <si>
    <t>stabiliteitskern y</t>
  </si>
  <si>
    <t>afhankelijk van aantal velden</t>
  </si>
  <si>
    <t>zie hieronder liggers sec.</t>
  </si>
  <si>
    <t>n = nx*ny</t>
  </si>
  <si>
    <t>wanden (x of y)</t>
  </si>
  <si>
    <t>WANDEN correctie</t>
  </si>
  <si>
    <t>?</t>
  </si>
  <si>
    <t>DRAAGSTRUCTUUR</t>
  </si>
  <si>
    <t>Totaal wapeningsstaal?</t>
  </si>
  <si>
    <t>automatisch</t>
  </si>
  <si>
    <r>
      <t>aantal stramienassen x en stramienmaat l</t>
    </r>
    <r>
      <rPr>
        <b/>
        <vertAlign val="subscript"/>
        <sz val="9.5"/>
        <color theme="1"/>
        <rFont val="Arial"/>
        <family val="2"/>
      </rPr>
      <t>x</t>
    </r>
  </si>
  <si>
    <r>
      <t>aantal stramienassen y en stramienmaat l</t>
    </r>
    <r>
      <rPr>
        <b/>
        <vertAlign val="subscript"/>
        <sz val="9.5"/>
        <color theme="1"/>
        <rFont val="Arial"/>
        <family val="2"/>
      </rPr>
      <t>y</t>
    </r>
  </si>
  <si>
    <t>Versie 3.4</t>
  </si>
  <si>
    <t>http://www.tki-kiem.nl</t>
  </si>
  <si>
    <t>Dit model is (door)ontwikkeld in het kader van het project TKI-KIEM, zie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</si>
</sst>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00"/>
    <numFmt numFmtId="167" formatCode="0.00_ ;[Red]\-0.00\ "/>
    <numFmt numFmtId="168" formatCode="0.0000"/>
  </numFmts>
  <fonts count="90" x14ac:knownFonts="1">
    <font>
      <sz val="10"/>
      <color theme="1"/>
      <name val="Arial Narrow"/>
      <family val="2"/>
    </font>
    <font>
      <sz val="11"/>
      <color theme="1"/>
      <name val="Calibri"/>
      <family val="2"/>
      <scheme val="minor"/>
    </font>
    <font>
      <sz val="10"/>
      <name val="Arial Narrow"/>
      <family val="2"/>
    </font>
    <font>
      <sz val="10"/>
      <color theme="1"/>
      <name val="Arial Narrow"/>
      <family val="2"/>
    </font>
    <font>
      <b/>
      <sz val="10"/>
      <name val="Arial"/>
      <family val="2"/>
    </font>
    <font>
      <sz val="9.5"/>
      <color theme="1"/>
      <name val="Arial"/>
      <family val="2"/>
    </font>
    <font>
      <b/>
      <sz val="9.5"/>
      <color rgb="FF7030A0"/>
      <name val="Arial"/>
      <family val="2"/>
    </font>
    <font>
      <sz val="9.5"/>
      <color rgb="FFFF0000"/>
      <name val="Arial"/>
      <family val="2"/>
    </font>
    <font>
      <b/>
      <sz val="9.5"/>
      <color theme="1"/>
      <name val="Arial"/>
      <family val="2"/>
    </font>
    <font>
      <sz val="9.5"/>
      <name val="Arial"/>
      <family val="2"/>
    </font>
    <font>
      <b/>
      <sz val="9.5"/>
      <color rgb="FF0070C0"/>
      <name val="Arial"/>
      <family val="2"/>
    </font>
    <font>
      <b/>
      <i/>
      <sz val="9.5"/>
      <name val="Arial"/>
      <family val="2"/>
    </font>
    <font>
      <vertAlign val="superscript"/>
      <sz val="9.5"/>
      <name val="Arial"/>
      <family val="2"/>
    </font>
    <font>
      <vertAlign val="superscript"/>
      <sz val="9.5"/>
      <color indexed="8"/>
      <name val="Arial"/>
      <family val="2"/>
    </font>
    <font>
      <i/>
      <sz val="9.5"/>
      <color rgb="FFFF0000"/>
      <name val="Arial"/>
      <family val="2"/>
    </font>
    <font>
      <i/>
      <sz val="9.5"/>
      <color theme="1"/>
      <name val="Arial"/>
      <family val="2"/>
    </font>
    <font>
      <vertAlign val="subscript"/>
      <sz val="9.5"/>
      <color theme="1"/>
      <name val="Arial"/>
      <family val="2"/>
    </font>
    <font>
      <b/>
      <vertAlign val="superscript"/>
      <sz val="9.5"/>
      <color theme="1"/>
      <name val="Arial"/>
      <family val="2"/>
    </font>
    <font>
      <b/>
      <sz val="9.5"/>
      <color rgb="FFFF0000"/>
      <name val="Arial"/>
      <family val="2"/>
    </font>
    <font>
      <b/>
      <vertAlign val="subscript"/>
      <sz val="9.5"/>
      <color theme="1"/>
      <name val="Arial"/>
      <family val="2"/>
    </font>
    <font>
      <vertAlign val="superscript"/>
      <sz val="9.5"/>
      <color theme="1"/>
      <name val="Arial"/>
      <family val="2"/>
    </font>
    <font>
      <b/>
      <sz val="9.5"/>
      <color theme="0"/>
      <name val="Arial"/>
      <family val="2"/>
    </font>
    <font>
      <b/>
      <i/>
      <sz val="9.5"/>
      <color rgb="FFC00000"/>
      <name val="Arial"/>
      <family val="2"/>
    </font>
    <font>
      <b/>
      <i/>
      <sz val="9.5"/>
      <color theme="1"/>
      <name val="Arial"/>
      <family val="2"/>
    </font>
    <font>
      <b/>
      <sz val="9.5"/>
      <color indexed="8"/>
      <name val="Arial"/>
      <family val="2"/>
    </font>
    <font>
      <b/>
      <sz val="9.5"/>
      <name val="Arial"/>
      <family val="2"/>
    </font>
    <font>
      <sz val="9.5"/>
      <color theme="0"/>
      <name val="Arial"/>
      <family val="2"/>
    </font>
    <font>
      <sz val="14"/>
      <name val="Arial"/>
      <family val="2"/>
    </font>
    <font>
      <sz val="24"/>
      <color theme="1"/>
      <name val="Arial"/>
      <family val="2"/>
    </font>
    <font>
      <sz val="26"/>
      <color theme="1"/>
      <name val="Arial"/>
      <family val="2"/>
    </font>
    <font>
      <i/>
      <sz val="10"/>
      <color rgb="FFFF0000"/>
      <name val="Arial"/>
      <family val="2"/>
    </font>
    <font>
      <sz val="9.5"/>
      <color indexed="8"/>
      <name val="Arial"/>
      <family val="2"/>
    </font>
    <font>
      <sz val="18"/>
      <color theme="1"/>
      <name val="Arial"/>
      <family val="2"/>
    </font>
    <font>
      <b/>
      <sz val="9.5"/>
      <color theme="0" tint="-0.249977111117893"/>
      <name val="Arial"/>
      <family val="2"/>
    </font>
    <font>
      <sz val="9.5"/>
      <color theme="0" tint="-0.249977111117893"/>
      <name val="Arial"/>
      <family val="2"/>
    </font>
    <font>
      <sz val="9"/>
      <color theme="1"/>
      <name val="Arial"/>
      <family val="2"/>
    </font>
    <font>
      <b/>
      <sz val="9"/>
      <color theme="1"/>
      <name val="Arial"/>
      <family val="2"/>
    </font>
    <font>
      <b/>
      <sz val="9"/>
      <color indexed="8"/>
      <name val="Arial"/>
      <family val="2"/>
    </font>
    <font>
      <sz val="9"/>
      <color rgb="FFFF0000"/>
      <name val="Arial"/>
      <family val="2"/>
    </font>
    <font>
      <b/>
      <sz val="9"/>
      <name val="Arial"/>
      <family val="2"/>
    </font>
    <font>
      <b/>
      <sz val="9"/>
      <color rgb="FFFF0000"/>
      <name val="Arial"/>
      <family val="2"/>
    </font>
    <font>
      <b/>
      <sz val="9"/>
      <color theme="6"/>
      <name val="Arial"/>
      <family val="2"/>
    </font>
    <font>
      <sz val="9"/>
      <color theme="0" tint="-0.14999847407452621"/>
      <name val="Arial"/>
      <family val="2"/>
    </font>
    <font>
      <sz val="9"/>
      <name val="Arial"/>
      <family val="2"/>
    </font>
    <font>
      <b/>
      <sz val="9"/>
      <color theme="0" tint="-0.14999847407452621"/>
      <name val="Arial"/>
      <family val="2"/>
    </font>
    <font>
      <b/>
      <sz val="12"/>
      <color indexed="8"/>
      <name val="Arial"/>
      <family val="2"/>
    </font>
    <font>
      <b/>
      <sz val="12"/>
      <color theme="1"/>
      <name val="Arial"/>
      <family val="2"/>
    </font>
    <font>
      <b/>
      <vertAlign val="superscript"/>
      <sz val="9"/>
      <color theme="1"/>
      <name val="Arial"/>
      <family val="2"/>
    </font>
    <font>
      <sz val="9"/>
      <color indexed="23"/>
      <name val="Arial"/>
      <family val="2"/>
    </font>
    <font>
      <b/>
      <sz val="9"/>
      <color indexed="23"/>
      <name val="Arial"/>
      <family val="2"/>
    </font>
    <font>
      <i/>
      <sz val="9"/>
      <color theme="1"/>
      <name val="Arial"/>
      <family val="2"/>
    </font>
    <font>
      <sz val="9"/>
      <color indexed="12"/>
      <name val="Arial"/>
      <family val="2"/>
    </font>
    <font>
      <sz val="9"/>
      <color indexed="10"/>
      <name val="Arial"/>
      <family val="2"/>
    </font>
    <font>
      <b/>
      <sz val="9"/>
      <color rgb="FFFFC000"/>
      <name val="Arial"/>
      <family val="2"/>
    </font>
    <font>
      <sz val="9"/>
      <color indexed="57"/>
      <name val="Arial"/>
      <family val="2"/>
    </font>
    <font>
      <vertAlign val="superscript"/>
      <sz val="9"/>
      <color indexed="8"/>
      <name val="Arial"/>
      <family val="2"/>
    </font>
    <font>
      <vertAlign val="subscript"/>
      <sz val="9"/>
      <color theme="1"/>
      <name val="Arial"/>
      <family val="2"/>
    </font>
    <font>
      <vertAlign val="superscript"/>
      <sz val="9"/>
      <color theme="1"/>
      <name val="Arial"/>
      <family val="2"/>
    </font>
    <font>
      <sz val="9"/>
      <color indexed="8"/>
      <name val="Arial"/>
      <family val="2"/>
    </font>
    <font>
      <b/>
      <sz val="9"/>
      <color theme="1"/>
      <name val="Calibri"/>
      <family val="2"/>
    </font>
    <font>
      <sz val="9"/>
      <color theme="1"/>
      <name val="Calibri"/>
      <family val="2"/>
    </font>
    <font>
      <sz val="7.65"/>
      <color theme="1"/>
      <name val="Arial"/>
      <family val="2"/>
    </font>
    <font>
      <i/>
      <sz val="9"/>
      <color rgb="FFFF0000"/>
      <name val="Arial"/>
      <family val="2"/>
    </font>
    <font>
      <sz val="9.5"/>
      <color theme="1"/>
      <name val="Arial Narrow"/>
      <family val="2"/>
    </font>
    <font>
      <b/>
      <sz val="26"/>
      <color theme="1"/>
      <name val="Arial"/>
      <family val="2"/>
    </font>
    <font>
      <sz val="9.5"/>
      <color rgb="FFFF0000"/>
      <name val="Arial Narrow"/>
      <family val="2"/>
    </font>
    <font>
      <sz val="26"/>
      <color rgb="FFFF0000"/>
      <name val="Arial"/>
      <family val="2"/>
    </font>
    <font>
      <sz val="26"/>
      <name val="Arial"/>
      <family val="2"/>
    </font>
    <font>
      <sz val="9.5"/>
      <name val="Arial Narrow"/>
      <family val="2"/>
    </font>
    <font>
      <b/>
      <sz val="14"/>
      <color rgb="FFFF0000"/>
      <name val="Arial"/>
      <family val="2"/>
    </font>
    <font>
      <sz val="9.5"/>
      <color rgb="FF0070C0"/>
      <name val="Arial"/>
      <family val="2"/>
    </font>
    <font>
      <i/>
      <sz val="9"/>
      <color indexed="8"/>
      <name val="Arial"/>
      <family val="2"/>
    </font>
    <font>
      <i/>
      <vertAlign val="superscript"/>
      <sz val="9"/>
      <color indexed="8"/>
      <name val="Arial"/>
      <family val="2"/>
    </font>
    <font>
      <i/>
      <vertAlign val="superscript"/>
      <sz val="9"/>
      <color theme="1"/>
      <name val="Arial"/>
      <family val="2"/>
    </font>
    <font>
      <i/>
      <sz val="9"/>
      <name val="Arial"/>
      <family val="2"/>
    </font>
    <font>
      <sz val="9"/>
      <color theme="0" tint="-0.34998626667073579"/>
      <name val="Arial"/>
      <family val="2"/>
    </font>
    <font>
      <b/>
      <i/>
      <sz val="9"/>
      <name val="Arial"/>
      <family val="2"/>
    </font>
    <font>
      <b/>
      <i/>
      <sz val="9"/>
      <color rgb="FFFF0000"/>
      <name val="Arial"/>
      <family val="2"/>
    </font>
    <font>
      <sz val="9.5"/>
      <color theme="0" tint="-0.34998626667073579"/>
      <name val="Arial"/>
      <family val="2"/>
    </font>
    <font>
      <sz val="9"/>
      <color theme="0" tint="-0.249977111117893"/>
      <name val="Arial"/>
      <family val="2"/>
    </font>
    <font>
      <sz val="9"/>
      <color theme="5" tint="0.39997558519241921"/>
      <name val="Arial"/>
      <family val="2"/>
    </font>
    <font>
      <sz val="9.5"/>
      <color theme="1"/>
      <name val="Calibri"/>
      <family val="2"/>
    </font>
    <font>
      <b/>
      <sz val="9.5"/>
      <color theme="1"/>
      <name val="Calibri"/>
      <family val="2"/>
    </font>
    <font>
      <sz val="8"/>
      <color theme="1"/>
      <name val="Arial"/>
      <family val="2"/>
    </font>
    <font>
      <b/>
      <u/>
      <sz val="9"/>
      <color theme="1"/>
      <name val="Arial"/>
      <family val="2"/>
    </font>
    <font>
      <b/>
      <sz val="9.5"/>
      <color theme="4"/>
      <name val="Arial"/>
      <family val="2"/>
    </font>
    <font>
      <i/>
      <sz val="9.5"/>
      <name val="Arial"/>
      <family val="2"/>
    </font>
    <font>
      <u/>
      <sz val="10"/>
      <color theme="10"/>
      <name val="Arial Narrow"/>
      <family val="2"/>
    </font>
    <font>
      <b/>
      <u/>
      <sz val="12"/>
      <color theme="10"/>
      <name val="Arial Narrow"/>
      <family val="2"/>
    </font>
    <font>
      <b/>
      <sz val="11"/>
      <color theme="1"/>
      <name val="Arial"/>
      <family val="2"/>
    </font>
  </fonts>
  <fills count="21">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B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6"/>
        <bgColor indexed="64"/>
      </patternFill>
    </fill>
  </fills>
  <borders count="8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diagonal/>
    </border>
    <border>
      <left/>
      <right/>
      <top style="medium">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auto="1"/>
      </right>
      <top style="thin">
        <color auto="1"/>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auto="1"/>
      </left>
      <right/>
      <top style="thin">
        <color auto="1"/>
      </top>
      <bottom style="medium">
        <color indexed="64"/>
      </bottom>
      <diagonal/>
    </border>
    <border>
      <left/>
      <right/>
      <top/>
      <bottom style="double">
        <color rgb="FFFF0000"/>
      </bottom>
      <diagonal/>
    </border>
    <border>
      <left/>
      <right style="thin">
        <color theme="1"/>
      </right>
      <top/>
      <bottom/>
      <diagonal/>
    </border>
    <border>
      <left/>
      <right style="thin">
        <color theme="1"/>
      </right>
      <top style="double">
        <color rgb="FFFF0000"/>
      </top>
      <bottom/>
      <diagonal/>
    </border>
    <border>
      <left/>
      <right style="thin">
        <color theme="1"/>
      </right>
      <top/>
      <bottom style="double">
        <color rgb="FFFF0000"/>
      </bottom>
      <diagonal/>
    </border>
    <border>
      <left/>
      <right style="double">
        <color theme="3" tint="0.39997558519241921"/>
      </right>
      <top/>
      <bottom/>
      <diagonal/>
    </border>
    <border>
      <left/>
      <right style="double">
        <color theme="3" tint="0.39997558519241921"/>
      </right>
      <top style="double">
        <color rgb="FFFF0000"/>
      </top>
      <bottom/>
      <diagonal/>
    </border>
    <border>
      <left/>
      <right style="double">
        <color theme="3" tint="0.39997558519241921"/>
      </right>
      <top/>
      <bottom style="double">
        <color rgb="FFFF0000"/>
      </bottom>
      <diagonal/>
    </border>
    <border>
      <left style="double">
        <color theme="3" tint="0.39997558519241921"/>
      </left>
      <right/>
      <top/>
      <bottom style="double">
        <color rgb="FFFF0000"/>
      </bottom>
      <diagonal/>
    </border>
    <border>
      <left/>
      <right/>
      <top style="double">
        <color rgb="FFFF0000"/>
      </top>
      <bottom style="double">
        <color theme="3" tint="0.39997558519241921"/>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6">
    <xf numFmtId="0" fontId="0" fillId="0" borderId="0"/>
    <xf numFmtId="164" fontId="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87" fillId="0" borderId="0" applyNumberFormat="0" applyFill="0" applyBorder="0" applyAlignment="0" applyProtection="0"/>
  </cellStyleXfs>
  <cellXfs count="1886">
    <xf numFmtId="0" fontId="0" fillId="0" borderId="0" xfId="0"/>
    <xf numFmtId="49" fontId="5" fillId="0" borderId="0" xfId="0" applyNumberFormat="1" applyFont="1" applyFill="1" applyBorder="1" applyAlignment="1" applyProtection="1">
      <alignment horizontal="left" vertical="center"/>
    </xf>
    <xf numFmtId="0" fontId="10" fillId="0" borderId="21" xfId="0" applyFont="1" applyFill="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left" vertical="top"/>
    </xf>
    <xf numFmtId="2" fontId="5" fillId="0" borderId="0" xfId="0" applyNumberFormat="1" applyFont="1" applyBorder="1" applyAlignment="1" applyProtection="1"/>
    <xf numFmtId="0" fontId="4" fillId="0" borderId="0" xfId="0" applyFont="1" applyFill="1" applyBorder="1" applyAlignment="1"/>
    <xf numFmtId="0" fontId="35" fillId="0" borderId="0" xfId="0" applyFont="1" applyAlignment="1"/>
    <xf numFmtId="0" fontId="35" fillId="0" borderId="0" xfId="0" applyFont="1" applyAlignment="1">
      <alignment horizontal="left"/>
    </xf>
    <xf numFmtId="0" fontId="35" fillId="3" borderId="17" xfId="0" applyFont="1" applyFill="1" applyBorder="1" applyAlignment="1"/>
    <xf numFmtId="0" fontId="35" fillId="3" borderId="18" xfId="0" applyFont="1" applyFill="1" applyBorder="1" applyAlignment="1"/>
    <xf numFmtId="0" fontId="37" fillId="3" borderId="17" xfId="0" applyFont="1" applyFill="1" applyBorder="1" applyAlignment="1"/>
    <xf numFmtId="0" fontId="35" fillId="0" borderId="0" xfId="0" applyFont="1" applyBorder="1" applyAlignment="1"/>
    <xf numFmtId="0" fontId="35" fillId="0" borderId="60" xfId="0" applyFont="1" applyBorder="1" applyAlignment="1"/>
    <xf numFmtId="0" fontId="38" fillId="0" borderId="0" xfId="0" applyFont="1" applyBorder="1" applyAlignment="1"/>
    <xf numFmtId="0" fontId="35" fillId="0" borderId="6" xfId="0" applyFont="1" applyBorder="1" applyAlignment="1"/>
    <xf numFmtId="0" fontId="35" fillId="0" borderId="0" xfId="0" applyFont="1" applyFill="1" applyBorder="1" applyAlignment="1"/>
    <xf numFmtId="0" fontId="35" fillId="0" borderId="12" xfId="0" applyFont="1" applyBorder="1" applyAlignment="1"/>
    <xf numFmtId="0" fontId="35" fillId="0" borderId="1" xfId="0" applyFont="1" applyBorder="1" applyAlignment="1"/>
    <xf numFmtId="0" fontId="35" fillId="0" borderId="10" xfId="0" applyFont="1" applyBorder="1" applyAlignment="1"/>
    <xf numFmtId="0" fontId="36" fillId="0" borderId="0" xfId="0" applyFont="1" applyFill="1" applyBorder="1" applyAlignment="1"/>
    <xf numFmtId="0" fontId="38" fillId="0" borderId="0" xfId="0" applyFont="1" applyFill="1" applyBorder="1" applyAlignment="1"/>
    <xf numFmtId="0" fontId="36" fillId="0" borderId="60" xfId="0" applyFont="1" applyBorder="1" applyAlignment="1"/>
    <xf numFmtId="0" fontId="35" fillId="0" borderId="6" xfId="0" applyFont="1" applyFill="1" applyBorder="1" applyAlignment="1"/>
    <xf numFmtId="0" fontId="36" fillId="0" borderId="0" xfId="0" applyFont="1" applyFill="1" applyBorder="1" applyAlignment="1">
      <alignment horizontal="center"/>
    </xf>
    <xf numFmtId="0" fontId="35" fillId="0" borderId="0" xfId="0" applyFont="1" applyFill="1" applyBorder="1" applyAlignment="1">
      <alignment horizontal="right"/>
    </xf>
    <xf numFmtId="0" fontId="35" fillId="0" borderId="0" xfId="0" applyFont="1" applyFill="1" applyBorder="1" applyAlignment="1">
      <alignment horizontal="left"/>
    </xf>
    <xf numFmtId="0" fontId="35" fillId="0" borderId="60" xfId="0" applyFont="1" applyFill="1" applyBorder="1" applyAlignment="1"/>
    <xf numFmtId="2" fontId="40" fillId="0" borderId="0" xfId="0" applyNumberFormat="1" applyFont="1" applyFill="1" applyBorder="1" applyAlignment="1">
      <alignment horizontal="center"/>
    </xf>
    <xf numFmtId="0" fontId="39" fillId="0" borderId="0" xfId="0" applyFont="1" applyFill="1" applyBorder="1" applyAlignment="1"/>
    <xf numFmtId="0" fontId="43" fillId="0" borderId="0" xfId="0" applyFont="1" applyFill="1" applyBorder="1" applyAlignment="1"/>
    <xf numFmtId="0" fontId="35" fillId="0" borderId="0" xfId="0" applyFont="1" applyBorder="1" applyAlignment="1">
      <alignment horizontal="left"/>
    </xf>
    <xf numFmtId="0" fontId="35" fillId="0" borderId="12" xfId="0" applyFont="1" applyBorder="1" applyAlignment="1">
      <alignment horizontal="left"/>
    </xf>
    <xf numFmtId="0" fontId="35" fillId="0" borderId="1" xfId="0" applyFont="1" applyBorder="1" applyAlignment="1">
      <alignment horizontal="left"/>
    </xf>
    <xf numFmtId="0" fontId="36" fillId="0" borderId="0" xfId="0" applyFont="1" applyFill="1" applyBorder="1" applyAlignment="1">
      <alignment horizontal="left"/>
    </xf>
    <xf numFmtId="2" fontId="38" fillId="0" borderId="0" xfId="0" applyNumberFormat="1" applyFont="1" applyFill="1" applyBorder="1" applyAlignment="1">
      <alignment horizontal="center"/>
    </xf>
    <xf numFmtId="0" fontId="36" fillId="8" borderId="64" xfId="0" applyFont="1" applyFill="1" applyBorder="1" applyAlignment="1"/>
    <xf numFmtId="0" fontId="36" fillId="8" borderId="58" xfId="0" applyFont="1" applyFill="1" applyBorder="1" applyAlignment="1"/>
    <xf numFmtId="0" fontId="36" fillId="8" borderId="12" xfId="0" applyFont="1" applyFill="1" applyBorder="1" applyAlignment="1"/>
    <xf numFmtId="0" fontId="36" fillId="8" borderId="1" xfId="0" applyFont="1" applyFill="1" applyBorder="1" applyAlignment="1"/>
    <xf numFmtId="1" fontId="38" fillId="0" borderId="0" xfId="0" applyNumberFormat="1" applyFont="1" applyFill="1" applyBorder="1" applyAlignment="1"/>
    <xf numFmtId="1" fontId="35" fillId="0" borderId="0" xfId="0" applyNumberFormat="1" applyFont="1" applyFill="1" applyBorder="1" applyAlignment="1"/>
    <xf numFmtId="2" fontId="38" fillId="0" borderId="0" xfId="0" applyNumberFormat="1" applyFont="1" applyFill="1" applyBorder="1" applyAlignment="1"/>
    <xf numFmtId="0" fontId="36" fillId="8" borderId="10" xfId="0" applyFont="1" applyFill="1" applyBorder="1" applyAlignment="1"/>
    <xf numFmtId="1" fontId="38" fillId="0" borderId="6" xfId="0" applyNumberFormat="1" applyFont="1" applyFill="1" applyBorder="1" applyAlignment="1"/>
    <xf numFmtId="1" fontId="38" fillId="0" borderId="0" xfId="0" applyNumberFormat="1" applyFont="1" applyFill="1" applyBorder="1" applyAlignment="1">
      <alignment horizontal="center"/>
    </xf>
    <xf numFmtId="1" fontId="40" fillId="0" borderId="0" xfId="0" applyNumberFormat="1" applyFont="1" applyFill="1" applyBorder="1" applyAlignment="1">
      <alignment horizontal="center"/>
    </xf>
    <xf numFmtId="0" fontId="45" fillId="3" borderId="19" xfId="0" applyFont="1" applyFill="1" applyBorder="1" applyAlignment="1"/>
    <xf numFmtId="0" fontId="35" fillId="0" borderId="0" xfId="0" applyFont="1" applyAlignment="1">
      <alignment vertical="center"/>
    </xf>
    <xf numFmtId="0" fontId="35" fillId="0" borderId="0" xfId="0" applyFont="1" applyFill="1" applyAlignment="1">
      <alignment vertical="center"/>
    </xf>
    <xf numFmtId="0" fontId="36" fillId="0" borderId="0" xfId="0" applyFont="1" applyFill="1" applyBorder="1" applyAlignment="1">
      <alignment vertical="center"/>
    </xf>
    <xf numFmtId="0" fontId="35" fillId="0" borderId="0" xfId="0" applyFont="1" applyBorder="1" applyAlignment="1">
      <alignment horizontal="left" vertical="center"/>
    </xf>
    <xf numFmtId="0" fontId="37" fillId="3" borderId="17" xfId="0" applyFont="1" applyFill="1" applyBorder="1" applyAlignment="1">
      <alignment vertical="center"/>
    </xf>
    <xf numFmtId="0" fontId="35" fillId="3" borderId="17" xfId="0" applyFont="1" applyFill="1" applyBorder="1" applyAlignment="1">
      <alignment vertical="center"/>
    </xf>
    <xf numFmtId="0" fontId="35" fillId="3" borderId="18" xfId="0" applyFont="1" applyFill="1" applyBorder="1" applyAlignment="1">
      <alignment vertical="center"/>
    </xf>
    <xf numFmtId="0" fontId="35" fillId="0" borderId="0" xfId="0" applyFont="1" applyFill="1" applyBorder="1" applyAlignment="1">
      <alignment vertical="center"/>
    </xf>
    <xf numFmtId="0" fontId="35" fillId="0" borderId="14" xfId="0" applyFont="1" applyBorder="1" applyAlignment="1">
      <alignment vertical="center"/>
    </xf>
    <xf numFmtId="0" fontId="39" fillId="0" borderId="66" xfId="0" applyFont="1" applyBorder="1"/>
    <xf numFmtId="0" fontId="43" fillId="0" borderId="14" xfId="0" applyFont="1" applyBorder="1"/>
    <xf numFmtId="0" fontId="35" fillId="0" borderId="14" xfId="0" applyFont="1" applyBorder="1"/>
    <xf numFmtId="0" fontId="35" fillId="0" borderId="70" xfId="0" applyFont="1" applyBorder="1" applyAlignment="1">
      <alignment vertical="center"/>
    </xf>
    <xf numFmtId="0" fontId="35" fillId="0" borderId="4" xfId="0" applyFont="1" applyBorder="1" applyAlignment="1">
      <alignment vertical="center"/>
    </xf>
    <xf numFmtId="0" fontId="35" fillId="0" borderId="0" xfId="0" applyFont="1" applyBorder="1" applyAlignment="1">
      <alignment vertical="center"/>
    </xf>
    <xf numFmtId="0" fontId="39" fillId="0" borderId="5" xfId="0" applyFont="1" applyBorder="1"/>
    <xf numFmtId="0" fontId="39" fillId="0" borderId="0" xfId="0" applyFont="1" applyBorder="1"/>
    <xf numFmtId="0" fontId="35" fillId="0" borderId="26" xfId="0" applyFont="1" applyBorder="1" applyAlignment="1">
      <alignment vertical="center"/>
    </xf>
    <xf numFmtId="0" fontId="38" fillId="0" borderId="1" xfId="0" applyFont="1" applyBorder="1" applyAlignment="1">
      <alignment horizontal="center" vertical="center"/>
    </xf>
    <xf numFmtId="0" fontId="35" fillId="0" borderId="10" xfId="0" applyFont="1" applyBorder="1" applyAlignment="1">
      <alignment vertical="center"/>
    </xf>
    <xf numFmtId="0" fontId="35" fillId="0" borderId="0" xfId="0" applyFont="1" applyBorder="1"/>
    <xf numFmtId="0" fontId="39" fillId="8" borderId="29" xfId="0" applyFont="1" applyFill="1" applyBorder="1"/>
    <xf numFmtId="0" fontId="39" fillId="8" borderId="30" xfId="0" applyFont="1" applyFill="1" applyBorder="1"/>
    <xf numFmtId="0" fontId="39" fillId="8" borderId="28" xfId="0" applyFont="1" applyFill="1" applyBorder="1"/>
    <xf numFmtId="0" fontId="35" fillId="0" borderId="71" xfId="0" applyFont="1" applyBorder="1" applyAlignment="1">
      <alignment vertical="center"/>
    </xf>
    <xf numFmtId="0" fontId="35" fillId="0" borderId="3" xfId="0" applyFont="1" applyBorder="1" applyAlignment="1">
      <alignment vertical="center"/>
    </xf>
    <xf numFmtId="0" fontId="35" fillId="0" borderId="1" xfId="0" applyFont="1" applyBorder="1" applyAlignment="1">
      <alignment vertical="center"/>
    </xf>
    <xf numFmtId="0" fontId="36" fillId="0" borderId="60" xfId="0" applyFont="1" applyBorder="1" applyAlignment="1">
      <alignment vertical="center"/>
    </xf>
    <xf numFmtId="0" fontId="35" fillId="0" borderId="6" xfId="0" applyFont="1" applyBorder="1" applyAlignment="1">
      <alignment vertical="center"/>
    </xf>
    <xf numFmtId="0" fontId="43" fillId="0" borderId="0" xfId="0" applyFont="1" applyBorder="1"/>
    <xf numFmtId="0" fontId="36" fillId="0" borderId="12" xfId="0" applyFont="1" applyBorder="1" applyAlignment="1">
      <alignment vertical="center"/>
    </xf>
    <xf numFmtId="0" fontId="36" fillId="0" borderId="69" xfId="0" applyFont="1" applyBorder="1" applyAlignment="1">
      <alignment vertical="center"/>
    </xf>
    <xf numFmtId="0" fontId="36" fillId="0" borderId="1" xfId="0" applyFont="1" applyBorder="1" applyAlignment="1">
      <alignment vertical="center"/>
    </xf>
    <xf numFmtId="0" fontId="35" fillId="0" borderId="0" xfId="0" applyFont="1" applyFill="1" applyAlignment="1">
      <alignment horizontal="center" vertical="center"/>
    </xf>
    <xf numFmtId="0" fontId="36" fillId="0" borderId="71" xfId="0" applyFont="1" applyBorder="1" applyAlignment="1">
      <alignment vertical="center"/>
    </xf>
    <xf numFmtId="0" fontId="36" fillId="0" borderId="30" xfId="0" applyFont="1" applyBorder="1" applyAlignment="1">
      <alignment vertical="center"/>
    </xf>
    <xf numFmtId="0" fontId="40" fillId="0" borderId="0" xfId="0" applyFont="1" applyFill="1" applyBorder="1" applyAlignment="1">
      <alignment vertical="center"/>
    </xf>
    <xf numFmtId="0" fontId="39" fillId="0" borderId="74" xfId="0" applyFont="1" applyBorder="1"/>
    <xf numFmtId="0" fontId="43" fillId="0" borderId="24" xfId="0" applyFont="1" applyBorder="1"/>
    <xf numFmtId="0" fontId="48" fillId="0" borderId="0" xfId="0" applyFont="1" applyFill="1" applyBorder="1" applyAlignment="1">
      <alignment vertical="center"/>
    </xf>
    <xf numFmtId="0" fontId="49"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36" fillId="0" borderId="26" xfId="0" applyFont="1" applyBorder="1" applyAlignment="1">
      <alignment vertical="center"/>
    </xf>
    <xf numFmtId="0" fontId="35" fillId="0" borderId="1" xfId="0" applyFont="1" applyFill="1" applyBorder="1" applyAlignment="1">
      <alignment horizontal="center" vertical="center"/>
    </xf>
    <xf numFmtId="0" fontId="35" fillId="0" borderId="23" xfId="0" applyFont="1" applyFill="1" applyBorder="1" applyAlignment="1">
      <alignment vertical="center"/>
    </xf>
    <xf numFmtId="0" fontId="50" fillId="0" borderId="0" xfId="0" applyFont="1" applyBorder="1" applyAlignment="1">
      <alignment vertical="center"/>
    </xf>
    <xf numFmtId="0" fontId="35" fillId="0" borderId="23" xfId="0" applyFont="1" applyBorder="1" applyAlignment="1">
      <alignment vertical="center"/>
    </xf>
    <xf numFmtId="0" fontId="36" fillId="0" borderId="15" xfId="0" applyFont="1" applyFill="1" applyBorder="1" applyAlignment="1">
      <alignment horizontal="center" vertical="center"/>
    </xf>
    <xf numFmtId="0" fontId="39" fillId="0" borderId="65" xfId="0" applyFont="1" applyBorder="1" applyAlignment="1">
      <alignment horizontal="center" vertical="center"/>
    </xf>
    <xf numFmtId="0" fontId="40" fillId="0" borderId="36" xfId="0" applyFont="1" applyFill="1" applyBorder="1" applyAlignment="1">
      <alignment horizontal="center" vertical="center"/>
    </xf>
    <xf numFmtId="1" fontId="40" fillId="0" borderId="36" xfId="0" applyNumberFormat="1" applyFont="1" applyBorder="1" applyAlignment="1">
      <alignment horizontal="center" vertical="center"/>
    </xf>
    <xf numFmtId="1" fontId="40" fillId="0" borderId="0" xfId="0" applyNumberFormat="1" applyFont="1" applyBorder="1" applyAlignment="1">
      <alignment horizontal="center" vertical="center"/>
    </xf>
    <xf numFmtId="2" fontId="40" fillId="0" borderId="0" xfId="0" applyNumberFormat="1" applyFont="1" applyBorder="1" applyAlignment="1">
      <alignment horizontal="center" vertical="center"/>
    </xf>
    <xf numFmtId="165" fontId="40" fillId="0" borderId="0" xfId="0" applyNumberFormat="1" applyFont="1" applyBorder="1" applyAlignment="1">
      <alignment horizontal="center" vertical="center"/>
    </xf>
    <xf numFmtId="1" fontId="40" fillId="0" borderId="23" xfId="0" applyNumberFormat="1" applyFont="1" applyBorder="1" applyAlignment="1">
      <alignment horizontal="center" vertical="center"/>
    </xf>
    <xf numFmtId="1" fontId="40" fillId="0" borderId="25" xfId="0" applyNumberFormat="1" applyFont="1" applyFill="1" applyBorder="1" applyAlignment="1">
      <alignment horizontal="center" vertical="center"/>
    </xf>
    <xf numFmtId="0" fontId="36" fillId="7" borderId="19" xfId="0" applyFont="1" applyFill="1" applyBorder="1" applyAlignment="1">
      <alignment horizontal="left"/>
    </xf>
    <xf numFmtId="0" fontId="35" fillId="7" borderId="17" xfId="0" applyFont="1" applyFill="1" applyBorder="1" applyAlignment="1">
      <alignment horizontal="center" vertical="center"/>
    </xf>
    <xf numFmtId="0" fontId="36" fillId="7" borderId="31" xfId="0" applyFont="1" applyFill="1" applyBorder="1" applyAlignment="1">
      <alignment horizontal="center" vertical="center"/>
    </xf>
    <xf numFmtId="0" fontId="36" fillId="7" borderId="17" xfId="0" applyFont="1" applyFill="1" applyBorder="1" applyAlignment="1">
      <alignment horizontal="center" vertical="center"/>
    </xf>
    <xf numFmtId="0" fontId="36" fillId="7" borderId="34" xfId="0" applyFont="1" applyFill="1" applyBorder="1" applyAlignment="1">
      <alignment horizontal="center" vertical="center"/>
    </xf>
    <xf numFmtId="0" fontId="36" fillId="7" borderId="32" xfId="0" applyFont="1" applyFill="1" applyBorder="1" applyAlignment="1">
      <alignment horizontal="center" vertical="center"/>
    </xf>
    <xf numFmtId="2" fontId="48" fillId="0" borderId="0" xfId="0" applyNumberFormat="1" applyFont="1" applyFill="1" applyBorder="1" applyAlignment="1">
      <alignment vertical="center"/>
    </xf>
    <xf numFmtId="0" fontId="49" fillId="0" borderId="0" xfId="0" applyFont="1" applyFill="1" applyBorder="1" applyAlignment="1">
      <alignment vertical="center"/>
    </xf>
    <xf numFmtId="0" fontId="48" fillId="0" borderId="0" xfId="0" quotePrefix="1" applyFont="1" applyFill="1" applyBorder="1" applyAlignment="1">
      <alignment horizontal="center" vertical="center"/>
    </xf>
    <xf numFmtId="0" fontId="51" fillId="0" borderId="0" xfId="0" applyFont="1" applyFill="1" applyBorder="1" applyAlignment="1">
      <alignment horizontal="center" vertical="center"/>
    </xf>
    <xf numFmtId="0" fontId="52" fillId="0" borderId="0" xfId="0" applyFont="1" applyFill="1" applyBorder="1" applyAlignment="1">
      <alignment vertical="center"/>
    </xf>
    <xf numFmtId="165" fontId="38" fillId="0" borderId="23" xfId="0" applyNumberFormat="1" applyFont="1" applyFill="1" applyBorder="1" applyAlignment="1">
      <alignment horizontal="center"/>
    </xf>
    <xf numFmtId="0" fontId="36" fillId="0" borderId="0" xfId="0" applyFont="1" applyFill="1" applyBorder="1" applyAlignment="1">
      <alignment horizontal="center" vertical="center"/>
    </xf>
    <xf numFmtId="0" fontId="39" fillId="0" borderId="0" xfId="0" applyFont="1" applyFill="1" applyBorder="1" applyAlignment="1">
      <alignment horizontal="left" vertical="center"/>
    </xf>
    <xf numFmtId="0" fontId="35" fillId="0" borderId="0" xfId="0" applyFont="1" applyAlignment="1">
      <alignment horizontal="center" vertical="center"/>
    </xf>
    <xf numFmtId="1" fontId="40" fillId="0" borderId="0" xfId="0" applyNumberFormat="1" applyFont="1" applyFill="1" applyBorder="1" applyAlignment="1">
      <alignment horizontal="center" vertical="center"/>
    </xf>
    <xf numFmtId="0" fontId="35" fillId="0" borderId="0" xfId="0" applyFont="1" applyBorder="1" applyAlignment="1">
      <alignment horizontal="center" vertical="center"/>
    </xf>
    <xf numFmtId="0" fontId="35" fillId="0" borderId="0" xfId="0" applyFont="1" applyAlignment="1">
      <alignment horizontal="left" vertical="center"/>
    </xf>
    <xf numFmtId="0" fontId="43" fillId="0" borderId="0" xfId="0" applyFont="1" applyBorder="1" applyAlignment="1">
      <alignment vertical="center"/>
    </xf>
    <xf numFmtId="165" fontId="38" fillId="0" borderId="0" xfId="0" applyNumberFormat="1" applyFont="1" applyFill="1" applyBorder="1" applyAlignment="1">
      <alignment horizontal="center"/>
    </xf>
    <xf numFmtId="0" fontId="53" fillId="0" borderId="0" xfId="0" applyFont="1"/>
    <xf numFmtId="0" fontId="43" fillId="0" borderId="0" xfId="0" applyFont="1" applyAlignment="1">
      <alignment vertical="center"/>
    </xf>
    <xf numFmtId="0" fontId="36" fillId="0" borderId="26" xfId="0" applyFont="1" applyFill="1" applyBorder="1" applyAlignment="1">
      <alignment vertical="center"/>
    </xf>
    <xf numFmtId="165" fontId="35" fillId="0" borderId="0" xfId="0" applyNumberFormat="1" applyFont="1" applyFill="1" applyBorder="1" applyAlignment="1">
      <alignment horizontal="left" vertical="center"/>
    </xf>
    <xf numFmtId="0" fontId="35" fillId="0" borderId="0" xfId="0" applyFont="1" applyBorder="1" applyAlignment="1">
      <alignment horizontal="right" vertical="center"/>
    </xf>
    <xf numFmtId="0" fontId="38" fillId="0" borderId="0" xfId="0" applyFont="1" applyFill="1" applyBorder="1" applyAlignment="1">
      <alignment vertical="center"/>
    </xf>
    <xf numFmtId="0" fontId="38" fillId="0" borderId="0" xfId="0" applyFont="1" applyBorder="1" applyAlignment="1">
      <alignment vertical="center"/>
    </xf>
    <xf numFmtId="1" fontId="38" fillId="0" borderId="0" xfId="0" applyNumberFormat="1" applyFont="1" applyBorder="1" applyAlignment="1">
      <alignment vertical="center"/>
    </xf>
    <xf numFmtId="2" fontId="43" fillId="0" borderId="0" xfId="0" applyNumberFormat="1" applyFont="1" applyFill="1" applyBorder="1" applyAlignment="1">
      <alignment vertical="center"/>
    </xf>
    <xf numFmtId="165" fontId="38" fillId="0" borderId="25" xfId="0" applyNumberFormat="1" applyFont="1" applyFill="1" applyBorder="1" applyAlignment="1">
      <alignment horizontal="center"/>
    </xf>
    <xf numFmtId="0" fontId="35" fillId="0" borderId="59"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60" xfId="0" applyFont="1" applyBorder="1" applyAlignment="1">
      <alignment vertical="center"/>
    </xf>
    <xf numFmtId="0" fontId="39" fillId="0" borderId="75" xfId="0" applyFont="1" applyBorder="1" applyAlignment="1">
      <alignment horizontal="center" vertical="center"/>
    </xf>
    <xf numFmtId="0" fontId="36" fillId="0" borderId="23" xfId="0" applyFont="1" applyFill="1" applyBorder="1" applyAlignment="1">
      <alignment horizontal="center" vertical="center"/>
    </xf>
    <xf numFmtId="165" fontId="35" fillId="0" borderId="0" xfId="0" applyNumberFormat="1" applyFont="1" applyFill="1" applyBorder="1" applyAlignment="1">
      <alignment horizontal="center" vertical="center"/>
    </xf>
    <xf numFmtId="165" fontId="38" fillId="0" borderId="23" xfId="0" applyNumberFormat="1" applyFont="1" applyFill="1" applyBorder="1" applyAlignment="1">
      <alignment horizontal="center" vertical="center"/>
    </xf>
    <xf numFmtId="165" fontId="35" fillId="0" borderId="0" xfId="0" applyNumberFormat="1" applyFont="1" applyBorder="1" applyAlignment="1">
      <alignment vertical="center"/>
    </xf>
    <xf numFmtId="0" fontId="35" fillId="0" borderId="0" xfId="0" applyFont="1"/>
    <xf numFmtId="0" fontId="39" fillId="0" borderId="0" xfId="0" applyFont="1" applyFill="1"/>
    <xf numFmtId="0" fontId="43" fillId="0" borderId="0" xfId="0" applyFont="1" applyFill="1"/>
    <xf numFmtId="0" fontId="35" fillId="0" borderId="0" xfId="0" applyFont="1" applyFill="1"/>
    <xf numFmtId="0" fontId="39" fillId="0" borderId="0" xfId="0" applyFont="1" applyFill="1" applyBorder="1"/>
    <xf numFmtId="1" fontId="43" fillId="0" borderId="0" xfId="0" applyNumberFormat="1" applyFont="1" applyBorder="1" applyAlignment="1">
      <alignment vertical="center"/>
    </xf>
    <xf numFmtId="0" fontId="43" fillId="0" borderId="0" xfId="0" applyFont="1"/>
    <xf numFmtId="0" fontId="35" fillId="0" borderId="0" xfId="0" applyFont="1" applyFill="1" applyBorder="1"/>
    <xf numFmtId="167" fontId="43" fillId="0" borderId="0" xfId="0" applyNumberFormat="1" applyFont="1" applyFill="1"/>
    <xf numFmtId="0" fontId="36" fillId="0" borderId="0" xfId="0" applyFont="1" applyFill="1" applyBorder="1"/>
    <xf numFmtId="0" fontId="43" fillId="0" borderId="0" xfId="0" applyFont="1" applyFill="1" applyBorder="1"/>
    <xf numFmtId="0" fontId="35" fillId="0" borderId="0" xfId="0" applyFont="1" applyFill="1" applyBorder="1" applyAlignment="1">
      <alignment horizontal="left" vertical="center"/>
    </xf>
    <xf numFmtId="0" fontId="35" fillId="0" borderId="0" xfId="0" applyFont="1" applyFill="1" applyBorder="1" applyAlignment="1">
      <alignment horizontal="right" vertical="center"/>
    </xf>
    <xf numFmtId="0" fontId="35" fillId="0" borderId="0" xfId="0" applyFont="1" applyBorder="1" applyAlignment="1">
      <alignment horizontal="right"/>
    </xf>
    <xf numFmtId="0" fontId="38" fillId="0" borderId="0" xfId="0" applyFont="1" applyFill="1" applyBorder="1"/>
    <xf numFmtId="0" fontId="40" fillId="0" borderId="0" xfId="0" applyFont="1" applyFill="1" applyBorder="1"/>
    <xf numFmtId="166" fontId="40" fillId="0" borderId="0" xfId="0" applyNumberFormat="1" applyFont="1" applyFill="1" applyBorder="1"/>
    <xf numFmtId="167" fontId="43" fillId="0" borderId="0" xfId="0" applyNumberFormat="1" applyFont="1" applyBorder="1"/>
    <xf numFmtId="2" fontId="35" fillId="0" borderId="0" xfId="0" applyNumberFormat="1" applyFont="1" applyFill="1" applyBorder="1"/>
    <xf numFmtId="1" fontId="43" fillId="0" borderId="0" xfId="0" applyNumberFormat="1" applyFont="1" applyFill="1" applyBorder="1" applyAlignment="1">
      <alignment vertical="center"/>
    </xf>
    <xf numFmtId="2" fontId="43" fillId="0" borderId="0" xfId="0" applyNumberFormat="1" applyFont="1" applyFill="1" applyBorder="1"/>
    <xf numFmtId="0" fontId="39" fillId="0" borderId="0" xfId="0" applyFont="1" applyFill="1" applyBorder="1" applyAlignment="1">
      <alignment vertical="center"/>
    </xf>
    <xf numFmtId="0" fontId="43" fillId="0" borderId="0" xfId="0" applyFont="1" applyBorder="1" applyAlignment="1">
      <alignment horizontal="right"/>
    </xf>
    <xf numFmtId="0" fontId="45" fillId="3" borderId="19" xfId="0" applyFont="1" applyFill="1" applyBorder="1" applyAlignment="1">
      <alignment vertical="center"/>
    </xf>
    <xf numFmtId="0" fontId="35" fillId="3" borderId="17" xfId="0" applyFont="1" applyFill="1" applyBorder="1"/>
    <xf numFmtId="0" fontId="35" fillId="3" borderId="18" xfId="0" applyFont="1" applyFill="1" applyBorder="1"/>
    <xf numFmtId="2" fontId="43" fillId="0" borderId="0" xfId="0" applyNumberFormat="1" applyFont="1" applyBorder="1" applyAlignment="1" applyProtection="1">
      <alignment vertical="center"/>
    </xf>
    <xf numFmtId="2" fontId="43" fillId="0" borderId="0" xfId="0" applyNumberFormat="1" applyFont="1" applyBorder="1" applyAlignment="1" applyProtection="1">
      <alignment horizontal="center" vertical="center"/>
    </xf>
    <xf numFmtId="0" fontId="43" fillId="0" borderId="0" xfId="0" applyFont="1" applyFill="1" applyBorder="1" applyAlignment="1">
      <alignment vertical="center"/>
    </xf>
    <xf numFmtId="0" fontId="36" fillId="0" borderId="26" xfId="0" applyFont="1" applyBorder="1"/>
    <xf numFmtId="0" fontId="36" fillId="0" borderId="0" xfId="0" applyFont="1" applyBorder="1"/>
    <xf numFmtId="0" fontId="36" fillId="0" borderId="23" xfId="0" applyFont="1" applyBorder="1"/>
    <xf numFmtId="0" fontId="40" fillId="0" borderId="0" xfId="0" applyFont="1" applyBorder="1" applyAlignment="1">
      <alignment vertical="center"/>
    </xf>
    <xf numFmtId="0" fontId="37" fillId="0" borderId="0" xfId="0" applyFont="1" applyBorder="1" applyAlignment="1">
      <alignment vertical="center"/>
    </xf>
    <xf numFmtId="0" fontId="38" fillId="0" borderId="0" xfId="0" applyFont="1" applyFill="1" applyBorder="1" applyAlignment="1">
      <alignment horizontal="center" vertical="center"/>
    </xf>
    <xf numFmtId="0" fontId="35" fillId="0" borderId="26" xfId="0" applyFont="1" applyBorder="1"/>
    <xf numFmtId="0" fontId="54" fillId="0" borderId="0" xfId="0" applyFont="1" applyAlignment="1">
      <alignment vertical="center" wrapText="1"/>
    </xf>
    <xf numFmtId="0" fontId="38" fillId="0" borderId="0" xfId="0" applyFont="1" applyBorder="1" applyAlignment="1">
      <alignment horizontal="center" vertical="center"/>
    </xf>
    <xf numFmtId="0" fontId="36" fillId="0" borderId="10" xfId="0" applyFont="1" applyBorder="1" applyAlignment="1">
      <alignment vertical="center"/>
    </xf>
    <xf numFmtId="0" fontId="35" fillId="0" borderId="27" xfId="0" applyFont="1" applyBorder="1"/>
    <xf numFmtId="165" fontId="38" fillId="0" borderId="0" xfId="0" applyNumberFormat="1" applyFont="1" applyBorder="1" applyAlignment="1">
      <alignment horizontal="center" vertical="center"/>
    </xf>
    <xf numFmtId="0" fontId="46" fillId="3" borderId="19" xfId="0" applyFont="1" applyFill="1" applyBorder="1"/>
    <xf numFmtId="0" fontId="38" fillId="0" borderId="0" xfId="0" applyFont="1" applyFill="1" applyBorder="1" applyAlignment="1">
      <alignment horizontal="right"/>
    </xf>
    <xf numFmtId="0" fontId="35" fillId="0" borderId="0" xfId="0" applyFont="1" applyAlignment="1">
      <alignment horizontal="right"/>
    </xf>
    <xf numFmtId="0" fontId="37" fillId="3" borderId="17" xfId="0" applyFont="1" applyFill="1" applyBorder="1" applyAlignment="1">
      <alignment horizontal="right"/>
    </xf>
    <xf numFmtId="0" fontId="35" fillId="0" borderId="60" xfId="0" applyFont="1" applyBorder="1" applyAlignment="1">
      <alignment horizontal="left"/>
    </xf>
    <xf numFmtId="0" fontId="38" fillId="0" borderId="0" xfId="0" applyFont="1" applyBorder="1" applyAlignment="1">
      <alignment horizontal="right"/>
    </xf>
    <xf numFmtId="1" fontId="38" fillId="0" borderId="0" xfId="0" applyNumberFormat="1" applyFont="1" applyBorder="1" applyAlignment="1">
      <alignment horizontal="right"/>
    </xf>
    <xf numFmtId="0" fontId="35" fillId="0" borderId="6" xfId="0" applyFont="1" applyBorder="1" applyAlignment="1">
      <alignment horizontal="left"/>
    </xf>
    <xf numFmtId="0" fontId="35" fillId="0" borderId="6" xfId="0" applyFont="1" applyFill="1" applyBorder="1" applyAlignment="1">
      <alignment horizontal="left"/>
    </xf>
    <xf numFmtId="0" fontId="36" fillId="0" borderId="6" xfId="0" applyFont="1" applyFill="1" applyBorder="1" applyAlignment="1"/>
    <xf numFmtId="0" fontId="35" fillId="0" borderId="1" xfId="0" applyFont="1" applyBorder="1" applyAlignment="1">
      <alignment horizontal="right"/>
    </xf>
    <xf numFmtId="165" fontId="38" fillId="0" borderId="0" xfId="0" applyNumberFormat="1" applyFont="1" applyBorder="1" applyAlignment="1">
      <alignment horizontal="right"/>
    </xf>
    <xf numFmtId="2" fontId="38" fillId="0" borderId="0" xfId="0" applyNumberFormat="1" applyFont="1" applyFill="1" applyBorder="1" applyAlignment="1">
      <alignment horizontal="right"/>
    </xf>
    <xf numFmtId="0" fontId="36" fillId="0" borderId="0" xfId="0" applyFont="1" applyBorder="1" applyAlignment="1">
      <alignment horizontal="left"/>
    </xf>
    <xf numFmtId="0" fontId="35" fillId="0" borderId="53" xfId="0" applyFont="1" applyBorder="1" applyAlignment="1">
      <alignment horizontal="left"/>
    </xf>
    <xf numFmtId="0" fontId="35" fillId="0" borderId="64" xfId="0" applyFont="1" applyBorder="1" applyAlignment="1">
      <alignment horizontal="right"/>
    </xf>
    <xf numFmtId="0" fontId="35" fillId="0" borderId="54" xfId="0" applyFont="1" applyBorder="1" applyAlignment="1">
      <alignment horizontal="left"/>
    </xf>
    <xf numFmtId="0" fontId="35" fillId="0" borderId="10" xfId="0" applyFont="1" applyBorder="1" applyAlignment="1">
      <alignment horizontal="left"/>
    </xf>
    <xf numFmtId="0" fontId="41" fillId="0" borderId="0" xfId="0" applyFont="1" applyFill="1" applyBorder="1" applyAlignment="1"/>
    <xf numFmtId="2" fontId="36" fillId="0" borderId="0" xfId="0" applyNumberFormat="1" applyFont="1" applyFill="1" applyBorder="1" applyAlignment="1"/>
    <xf numFmtId="165" fontId="40" fillId="0" borderId="0" xfId="0" applyNumberFormat="1" applyFont="1" applyFill="1" applyBorder="1" applyAlignment="1">
      <alignment horizontal="left"/>
    </xf>
    <xf numFmtId="0" fontId="39" fillId="5" borderId="19" xfId="0" applyFont="1" applyFill="1" applyBorder="1" applyAlignment="1">
      <alignment vertical="center"/>
    </xf>
    <xf numFmtId="0" fontId="39" fillId="5" borderId="17" xfId="0" applyFont="1" applyFill="1" applyBorder="1" applyAlignment="1">
      <alignment vertical="center"/>
    </xf>
    <xf numFmtId="0" fontId="39" fillId="5" borderId="18" xfId="0" applyFont="1" applyFill="1" applyBorder="1" applyAlignment="1">
      <alignment vertical="center"/>
    </xf>
    <xf numFmtId="0" fontId="36" fillId="8" borderId="55" xfId="0" applyFont="1" applyFill="1" applyBorder="1" applyAlignment="1"/>
    <xf numFmtId="0" fontId="36" fillId="8" borderId="53" xfId="0" applyFont="1" applyFill="1" applyBorder="1" applyAlignment="1"/>
    <xf numFmtId="0" fontId="36" fillId="8" borderId="54" xfId="0" applyFont="1" applyFill="1" applyBorder="1" applyAlignment="1"/>
    <xf numFmtId="1" fontId="38" fillId="0" borderId="60" xfId="0" applyNumberFormat="1" applyFont="1" applyFill="1" applyBorder="1" applyAlignment="1"/>
    <xf numFmtId="1" fontId="42" fillId="0" borderId="0" xfId="0" applyNumberFormat="1" applyFont="1" applyBorder="1" applyAlignment="1">
      <alignment horizontal="left"/>
    </xf>
    <xf numFmtId="0" fontId="39" fillId="0" borderId="0" xfId="0" applyFont="1" applyBorder="1" applyAlignment="1"/>
    <xf numFmtId="2" fontId="39" fillId="0" borderId="0" xfId="0" applyNumberFormat="1" applyFont="1" applyBorder="1" applyAlignment="1"/>
    <xf numFmtId="0" fontId="44" fillId="0" borderId="0" xfId="0" applyFont="1" applyBorder="1" applyAlignment="1"/>
    <xf numFmtId="2" fontId="44" fillId="0" borderId="0" xfId="0" applyNumberFormat="1" applyFont="1" applyBorder="1" applyAlignment="1"/>
    <xf numFmtId="0" fontId="39" fillId="0" borderId="60" xfId="0" applyFont="1" applyBorder="1" applyAlignment="1"/>
    <xf numFmtId="0" fontId="36" fillId="0" borderId="0" xfId="0" applyFont="1" applyBorder="1" applyAlignment="1">
      <alignment vertical="center"/>
    </xf>
    <xf numFmtId="0" fontId="37" fillId="0" borderId="60" xfId="0" applyFont="1" applyBorder="1" applyAlignment="1">
      <alignment vertical="center"/>
    </xf>
    <xf numFmtId="0" fontId="37" fillId="0" borderId="60" xfId="0" applyFont="1" applyFill="1" applyBorder="1" applyAlignment="1">
      <alignment vertical="center"/>
    </xf>
    <xf numFmtId="0" fontId="36" fillId="0" borderId="12" xfId="0" applyFont="1" applyFill="1" applyBorder="1" applyAlignment="1">
      <alignment vertical="center"/>
    </xf>
    <xf numFmtId="0" fontId="35" fillId="0" borderId="10" xfId="0" applyFont="1" applyFill="1" applyBorder="1" applyAlignment="1">
      <alignment vertical="center"/>
    </xf>
    <xf numFmtId="0" fontId="45" fillId="3" borderId="19" xfId="0" applyFont="1" applyFill="1" applyBorder="1" applyAlignment="1">
      <alignment horizontal="left" vertical="center"/>
    </xf>
    <xf numFmtId="0" fontId="37" fillId="3" borderId="17" xfId="0" applyFont="1" applyFill="1" applyBorder="1" applyAlignment="1">
      <alignment horizontal="center" vertical="center"/>
    </xf>
    <xf numFmtId="1" fontId="43" fillId="0" borderId="6" xfId="0" applyNumberFormat="1" applyFont="1" applyBorder="1" applyAlignment="1">
      <alignment vertical="center"/>
    </xf>
    <xf numFmtId="1" fontId="43" fillId="0" borderId="1" xfId="0" applyNumberFormat="1" applyFont="1" applyBorder="1" applyAlignment="1">
      <alignment vertical="center"/>
    </xf>
    <xf numFmtId="1" fontId="43" fillId="0" borderId="10" xfId="0" applyNumberFormat="1" applyFont="1" applyBorder="1" applyAlignment="1">
      <alignment vertical="center"/>
    </xf>
    <xf numFmtId="0" fontId="36" fillId="8" borderId="53" xfId="0" applyFont="1" applyFill="1" applyBorder="1" applyAlignment="1">
      <alignment vertical="center"/>
    </xf>
    <xf numFmtId="0" fontId="36" fillId="8" borderId="55" xfId="0" applyFont="1" applyFill="1" applyBorder="1" applyAlignment="1">
      <alignment vertical="center"/>
    </xf>
    <xf numFmtId="0" fontId="36" fillId="5" borderId="19" xfId="0" applyFont="1" applyFill="1" applyBorder="1"/>
    <xf numFmtId="0" fontId="35" fillId="5" borderId="17" xfId="0" applyFont="1" applyFill="1" applyBorder="1"/>
    <xf numFmtId="0" fontId="35" fillId="5" borderId="18" xfId="0" applyFont="1" applyFill="1" applyBorder="1"/>
    <xf numFmtId="0" fontId="38" fillId="0" borderId="0" xfId="0" applyFont="1" applyBorder="1"/>
    <xf numFmtId="165" fontId="38" fillId="0" borderId="0" xfId="0" applyNumberFormat="1" applyFont="1" applyBorder="1"/>
    <xf numFmtId="0" fontId="38" fillId="0" borderId="23" xfId="0" applyFont="1" applyBorder="1"/>
    <xf numFmtId="0" fontId="38" fillId="0" borderId="24" xfId="0" applyFont="1" applyBorder="1"/>
    <xf numFmtId="165" fontId="38" fillId="0" borderId="24" xfId="0" applyNumberFormat="1" applyFont="1" applyBorder="1"/>
    <xf numFmtId="0" fontId="38" fillId="0" borderId="25" xfId="0" applyFont="1" applyBorder="1"/>
    <xf numFmtId="0" fontId="35" fillId="0" borderId="64" xfId="0" applyFont="1" applyBorder="1"/>
    <xf numFmtId="0" fontId="35" fillId="0" borderId="54" xfId="0" applyFont="1" applyBorder="1"/>
    <xf numFmtId="0" fontId="35" fillId="0" borderId="60" xfId="0" applyFont="1" applyBorder="1"/>
    <xf numFmtId="0" fontId="35" fillId="0" borderId="6" xfId="0" applyFont="1" applyBorder="1"/>
    <xf numFmtId="0" fontId="35" fillId="0" borderId="12" xfId="0" applyFont="1" applyBorder="1"/>
    <xf numFmtId="0" fontId="35" fillId="0" borderId="1" xfId="0" applyFont="1" applyBorder="1"/>
    <xf numFmtId="0" fontId="35" fillId="0" borderId="10" xfId="0" applyFont="1" applyBorder="1"/>
    <xf numFmtId="0" fontId="35" fillId="0" borderId="62" xfId="0" applyFont="1" applyBorder="1" applyAlignment="1">
      <alignment vertical="center"/>
    </xf>
    <xf numFmtId="2" fontId="38" fillId="0" borderId="0" xfId="0" applyNumberFormat="1" applyFont="1" applyBorder="1" applyAlignment="1">
      <alignment vertical="center"/>
    </xf>
    <xf numFmtId="0" fontId="40" fillId="0" borderId="1" xfId="0" applyFont="1" applyBorder="1" applyAlignment="1">
      <alignment vertical="center"/>
    </xf>
    <xf numFmtId="0" fontId="39" fillId="8" borderId="0" xfId="0" applyFont="1" applyFill="1" applyBorder="1" applyAlignment="1">
      <alignment vertical="center"/>
    </xf>
    <xf numFmtId="0" fontId="43" fillId="8" borderId="0" xfId="0" applyFont="1" applyFill="1" applyBorder="1" applyAlignment="1">
      <alignment vertical="center"/>
    </xf>
    <xf numFmtId="0" fontId="39" fillId="9" borderId="0" xfId="0" applyFont="1" applyFill="1" applyBorder="1" applyAlignment="1">
      <alignment vertical="center"/>
    </xf>
    <xf numFmtId="0" fontId="43" fillId="9" borderId="0" xfId="0" applyFont="1" applyFill="1" applyBorder="1" applyAlignment="1">
      <alignment vertical="center"/>
    </xf>
    <xf numFmtId="0" fontId="36" fillId="5" borderId="19" xfId="0" applyFont="1" applyFill="1" applyBorder="1" applyAlignment="1">
      <alignment vertical="center"/>
    </xf>
    <xf numFmtId="0" fontId="35" fillId="5" borderId="17" xfId="0" applyFont="1" applyFill="1" applyBorder="1" applyAlignment="1">
      <alignment vertical="center"/>
    </xf>
    <xf numFmtId="0" fontId="35" fillId="5" borderId="18" xfId="0" applyFont="1" applyFill="1" applyBorder="1" applyAlignment="1">
      <alignment vertical="center"/>
    </xf>
    <xf numFmtId="0" fontId="35" fillId="8" borderId="64" xfId="0" applyFont="1" applyFill="1" applyBorder="1" applyAlignment="1">
      <alignment vertical="center"/>
    </xf>
    <xf numFmtId="0" fontId="35" fillId="8" borderId="54" xfId="0" applyFont="1" applyFill="1" applyBorder="1" applyAlignment="1">
      <alignment vertical="center"/>
    </xf>
    <xf numFmtId="0" fontId="36" fillId="8" borderId="60" xfId="0" applyFont="1" applyFill="1" applyBorder="1" applyAlignment="1">
      <alignment vertical="center"/>
    </xf>
    <xf numFmtId="0" fontId="36" fillId="8" borderId="12" xfId="0" applyFont="1" applyFill="1" applyBorder="1" applyAlignment="1">
      <alignment vertical="center"/>
    </xf>
    <xf numFmtId="0" fontId="36" fillId="8" borderId="64" xfId="0" applyFont="1" applyFill="1" applyBorder="1" applyAlignment="1">
      <alignment vertical="center"/>
    </xf>
    <xf numFmtId="0" fontId="36" fillId="8" borderId="8" xfId="0" applyFont="1" applyFill="1" applyBorder="1" applyAlignment="1">
      <alignment vertical="center"/>
    </xf>
    <xf numFmtId="0" fontId="43" fillId="8" borderId="6" xfId="0" applyFont="1" applyFill="1" applyBorder="1" applyAlignment="1">
      <alignment vertical="center"/>
    </xf>
    <xf numFmtId="0" fontId="39" fillId="8" borderId="57" xfId="0" applyFont="1" applyFill="1" applyBorder="1" applyAlignment="1">
      <alignment vertical="center"/>
    </xf>
    <xf numFmtId="0" fontId="39" fillId="8" borderId="63" xfId="0" applyFont="1" applyFill="1" applyBorder="1" applyAlignment="1">
      <alignment vertical="center"/>
    </xf>
    <xf numFmtId="0" fontId="39" fillId="8" borderId="62" xfId="0" applyFont="1" applyFill="1" applyBorder="1" applyAlignment="1">
      <alignment vertical="center"/>
    </xf>
    <xf numFmtId="0" fontId="37" fillId="9" borderId="64" xfId="0" applyFont="1" applyFill="1" applyBorder="1" applyAlignment="1">
      <alignment vertical="center"/>
    </xf>
    <xf numFmtId="0" fontId="35" fillId="9" borderId="64" xfId="0" applyFont="1" applyFill="1" applyBorder="1" applyAlignment="1">
      <alignment vertical="center"/>
    </xf>
    <xf numFmtId="0" fontId="35" fillId="9" borderId="54" xfId="0" applyFont="1" applyFill="1" applyBorder="1" applyAlignment="1">
      <alignment vertical="center"/>
    </xf>
    <xf numFmtId="0" fontId="43" fillId="9" borderId="6" xfId="0" applyFont="1" applyFill="1" applyBorder="1" applyAlignment="1">
      <alignment vertical="center"/>
    </xf>
    <xf numFmtId="0" fontId="37" fillId="9" borderId="55" xfId="0" applyFont="1" applyFill="1" applyBorder="1" applyAlignment="1">
      <alignment vertical="center"/>
    </xf>
    <xf numFmtId="0" fontId="37" fillId="9" borderId="8" xfId="0" applyFont="1" applyFill="1" applyBorder="1" applyAlignment="1">
      <alignment vertical="center"/>
    </xf>
    <xf numFmtId="0" fontId="39" fillId="9" borderId="57" xfId="0" applyFont="1" applyFill="1" applyBorder="1" applyAlignment="1">
      <alignment vertical="center"/>
    </xf>
    <xf numFmtId="0" fontId="39" fillId="9" borderId="63" xfId="0" applyFont="1" applyFill="1" applyBorder="1" applyAlignment="1">
      <alignment vertical="center"/>
    </xf>
    <xf numFmtId="0" fontId="39" fillId="9" borderId="62" xfId="0" applyFont="1" applyFill="1" applyBorder="1" applyAlignment="1">
      <alignment vertical="center"/>
    </xf>
    <xf numFmtId="0" fontId="37" fillId="9" borderId="53" xfId="0" applyFont="1" applyFill="1" applyBorder="1" applyAlignment="1">
      <alignment vertical="center"/>
    </xf>
    <xf numFmtId="0" fontId="39" fillId="9" borderId="60" xfId="0" applyFont="1" applyFill="1" applyBorder="1" applyAlignment="1">
      <alignment vertical="center"/>
    </xf>
    <xf numFmtId="0" fontId="39" fillId="8" borderId="55" xfId="0" applyFont="1" applyFill="1" applyBorder="1" applyAlignment="1">
      <alignment vertical="center"/>
    </xf>
    <xf numFmtId="0" fontId="39" fillId="8" borderId="11" xfId="0" applyFont="1" applyFill="1" applyBorder="1" applyAlignment="1">
      <alignment vertical="center"/>
    </xf>
    <xf numFmtId="0" fontId="39" fillId="8" borderId="8" xfId="0" applyFont="1" applyFill="1" applyBorder="1" applyAlignment="1">
      <alignment vertical="center"/>
    </xf>
    <xf numFmtId="0" fontId="43" fillId="0" borderId="6" xfId="0" applyFont="1" applyBorder="1" applyAlignment="1">
      <alignment vertical="center"/>
    </xf>
    <xf numFmtId="0" fontId="43" fillId="0" borderId="1" xfId="0" applyFont="1" applyBorder="1" applyAlignment="1">
      <alignment vertical="center"/>
    </xf>
    <xf numFmtId="0" fontId="43" fillId="0" borderId="10" xfId="0" applyFont="1" applyBorder="1" applyAlignment="1">
      <alignment vertical="center"/>
    </xf>
    <xf numFmtId="0" fontId="36" fillId="8" borderId="6" xfId="0" applyFont="1" applyFill="1" applyBorder="1" applyAlignment="1">
      <alignment vertical="center"/>
    </xf>
    <xf numFmtId="0" fontId="35" fillId="8" borderId="60" xfId="0" applyFont="1" applyFill="1" applyBorder="1" applyAlignment="1">
      <alignment vertical="center"/>
    </xf>
    <xf numFmtId="0" fontId="35" fillId="8" borderId="12" xfId="0" applyFont="1" applyFill="1" applyBorder="1" applyAlignment="1">
      <alignment vertical="center"/>
    </xf>
    <xf numFmtId="0" fontId="35" fillId="0" borderId="1" xfId="0" applyFont="1" applyFill="1" applyBorder="1" applyAlignment="1">
      <alignment vertical="center"/>
    </xf>
    <xf numFmtId="0" fontId="37" fillId="8" borderId="54" xfId="0" applyFont="1" applyFill="1" applyBorder="1" applyAlignment="1">
      <alignment vertical="center"/>
    </xf>
    <xf numFmtId="0" fontId="37" fillId="8" borderId="6" xfId="0" applyFont="1" applyFill="1" applyBorder="1" applyAlignment="1">
      <alignment vertical="center"/>
    </xf>
    <xf numFmtId="0" fontId="37" fillId="8" borderId="10" xfId="0" applyFont="1" applyFill="1" applyBorder="1" applyAlignment="1">
      <alignment vertical="center"/>
    </xf>
    <xf numFmtId="0" fontId="35" fillId="8" borderId="53" xfId="0" applyFont="1" applyFill="1" applyBorder="1" applyAlignment="1">
      <alignment vertical="center"/>
    </xf>
    <xf numFmtId="0" fontId="36" fillId="8" borderId="1" xfId="0" applyFont="1" applyFill="1" applyBorder="1" applyAlignment="1">
      <alignment vertical="center"/>
    </xf>
    <xf numFmtId="0" fontId="36" fillId="8" borderId="10" xfId="0" applyFont="1" applyFill="1" applyBorder="1" applyAlignment="1">
      <alignment vertical="center"/>
    </xf>
    <xf numFmtId="1" fontId="35" fillId="0" borderId="0" xfId="0" applyNumberFormat="1" applyFont="1" applyFill="1" applyBorder="1" applyAlignment="1">
      <alignment horizontal="center" vertical="center"/>
    </xf>
    <xf numFmtId="1" fontId="35" fillId="0" borderId="1" xfId="0" applyNumberFormat="1" applyFont="1" applyFill="1" applyBorder="1" applyAlignment="1">
      <alignment horizontal="center" vertical="center"/>
    </xf>
    <xf numFmtId="1" fontId="35" fillId="0" borderId="10" xfId="0" applyNumberFormat="1" applyFont="1" applyFill="1" applyBorder="1" applyAlignment="1">
      <alignment horizontal="center" vertical="center"/>
    </xf>
    <xf numFmtId="0" fontId="35" fillId="8" borderId="6" xfId="0" applyFont="1" applyFill="1" applyBorder="1" applyAlignment="1">
      <alignment vertical="center"/>
    </xf>
    <xf numFmtId="165" fontId="35" fillId="0" borderId="6" xfId="0" applyNumberFormat="1" applyFont="1" applyBorder="1" applyAlignment="1">
      <alignment vertical="center"/>
    </xf>
    <xf numFmtId="165" fontId="35" fillId="0" borderId="1" xfId="0" applyNumberFormat="1" applyFont="1" applyBorder="1" applyAlignment="1">
      <alignment vertical="center"/>
    </xf>
    <xf numFmtId="165" fontId="35" fillId="0" borderId="10" xfId="0" applyNumberFormat="1" applyFont="1" applyBorder="1" applyAlignment="1">
      <alignment vertical="center"/>
    </xf>
    <xf numFmtId="165" fontId="39" fillId="8" borderId="57" xfId="0" applyNumberFormat="1" applyFont="1" applyFill="1" applyBorder="1" applyAlignment="1">
      <alignment vertical="center"/>
    </xf>
    <xf numFmtId="165" fontId="39" fillId="8" borderId="63" xfId="0" applyNumberFormat="1" applyFont="1" applyFill="1" applyBorder="1" applyAlignment="1">
      <alignment vertical="center"/>
    </xf>
    <xf numFmtId="165" fontId="39" fillId="8" borderId="62" xfId="0" applyNumberFormat="1" applyFont="1" applyFill="1" applyBorder="1" applyAlignment="1">
      <alignment vertical="center"/>
    </xf>
    <xf numFmtId="1" fontId="43" fillId="0" borderId="53" xfId="0" applyNumberFormat="1" applyFont="1" applyBorder="1" applyAlignment="1">
      <alignment vertical="center"/>
    </xf>
    <xf numFmtId="1" fontId="43" fillId="0" borderId="64" xfId="0" applyNumberFormat="1" applyFont="1" applyBorder="1" applyAlignment="1">
      <alignment vertical="center"/>
    </xf>
    <xf numFmtId="1" fontId="43" fillId="0" borderId="54" xfId="0" applyNumberFormat="1" applyFont="1" applyBorder="1" applyAlignment="1">
      <alignment vertical="center"/>
    </xf>
    <xf numFmtId="1" fontId="43" fillId="0" borderId="60" xfId="0" applyNumberFormat="1" applyFont="1" applyBorder="1" applyAlignment="1">
      <alignment vertical="center"/>
    </xf>
    <xf numFmtId="1" fontId="43" fillId="0" borderId="12" xfId="0" applyNumberFormat="1" applyFont="1" applyBorder="1" applyAlignment="1">
      <alignment vertical="center"/>
    </xf>
    <xf numFmtId="0" fontId="36" fillId="3" borderId="57" xfId="0" applyFont="1" applyFill="1" applyBorder="1" applyAlignment="1">
      <alignment vertical="center"/>
    </xf>
    <xf numFmtId="0" fontId="36" fillId="3" borderId="63" xfId="0" applyFont="1" applyFill="1" applyBorder="1" applyAlignment="1">
      <alignment vertical="center"/>
    </xf>
    <xf numFmtId="0" fontId="36" fillId="3" borderId="62" xfId="0" applyFont="1" applyFill="1" applyBorder="1" applyAlignment="1">
      <alignment vertical="center"/>
    </xf>
    <xf numFmtId="0" fontId="39" fillId="8" borderId="57" xfId="0" applyFont="1" applyFill="1" applyBorder="1"/>
    <xf numFmtId="0" fontId="39" fillId="8" borderId="63" xfId="0" applyFont="1" applyFill="1" applyBorder="1"/>
    <xf numFmtId="0" fontId="39" fillId="8" borderId="62" xfId="0" applyFont="1" applyFill="1" applyBorder="1"/>
    <xf numFmtId="165" fontId="36" fillId="0" borderId="0" xfId="0" applyNumberFormat="1" applyFont="1" applyBorder="1" applyAlignment="1">
      <alignment vertical="center"/>
    </xf>
    <xf numFmtId="0" fontId="39" fillId="0" borderId="57" xfId="0" applyFont="1" applyFill="1" applyBorder="1" applyAlignment="1">
      <alignment vertical="center"/>
    </xf>
    <xf numFmtId="0" fontId="40" fillId="0" borderId="63" xfId="0" applyFont="1" applyFill="1" applyBorder="1" applyAlignment="1">
      <alignment horizontal="center" vertical="center"/>
    </xf>
    <xf numFmtId="0" fontId="39" fillId="0" borderId="62" xfId="0" applyFont="1" applyBorder="1" applyAlignment="1">
      <alignment vertical="center"/>
    </xf>
    <xf numFmtId="2" fontId="35" fillId="0" borderId="0" xfId="0" applyNumberFormat="1" applyFont="1" applyFill="1" applyBorder="1" applyAlignment="1">
      <alignment vertical="center"/>
    </xf>
    <xf numFmtId="167" fontId="43" fillId="0" borderId="0" xfId="0" applyNumberFormat="1" applyFont="1" applyFill="1" applyBorder="1"/>
    <xf numFmtId="0" fontId="35" fillId="0" borderId="6" xfId="0" applyFont="1" applyFill="1" applyBorder="1"/>
    <xf numFmtId="0" fontId="43" fillId="0" borderId="6" xfId="0" applyFont="1" applyFill="1" applyBorder="1"/>
    <xf numFmtId="0" fontId="43" fillId="0" borderId="6" xfId="0" applyFont="1" applyBorder="1"/>
    <xf numFmtId="0" fontId="39" fillId="0" borderId="6" xfId="0" applyFont="1" applyBorder="1"/>
    <xf numFmtId="167" fontId="43" fillId="0" borderId="6" xfId="0" applyNumberFormat="1" applyFont="1" applyBorder="1"/>
    <xf numFmtId="0" fontId="43" fillId="8" borderId="57" xfId="0" applyFont="1" applyFill="1" applyBorder="1"/>
    <xf numFmtId="0" fontId="43" fillId="8" borderId="63" xfId="0" applyFont="1" applyFill="1" applyBorder="1"/>
    <xf numFmtId="0" fontId="43" fillId="8" borderId="62" xfId="0" applyFont="1" applyFill="1" applyBorder="1"/>
    <xf numFmtId="9" fontId="43" fillId="0" borderId="0" xfId="0" quotePrefix="1" applyNumberFormat="1" applyFont="1" applyBorder="1"/>
    <xf numFmtId="165" fontId="43" fillId="0" borderId="0" xfId="0" applyNumberFormat="1" applyFont="1" applyBorder="1"/>
    <xf numFmtId="0" fontId="48" fillId="0" borderId="60" xfId="0" applyFont="1" applyFill="1" applyBorder="1" applyAlignment="1">
      <alignment vertical="center"/>
    </xf>
    <xf numFmtId="0" fontId="35" fillId="0" borderId="60" xfId="0" applyFont="1" applyBorder="1" applyAlignment="1">
      <alignment horizontal="left" vertical="center"/>
    </xf>
    <xf numFmtId="0" fontId="43" fillId="0" borderId="60" xfId="0" applyFont="1" applyBorder="1" applyAlignment="1">
      <alignment vertical="center"/>
    </xf>
    <xf numFmtId="0" fontId="39" fillId="0" borderId="60" xfId="0" applyFont="1" applyFill="1" applyBorder="1"/>
    <xf numFmtId="0" fontId="43" fillId="0" borderId="60" xfId="0" applyFont="1" applyBorder="1"/>
    <xf numFmtId="0" fontId="39" fillId="0" borderId="60" xfId="0" applyFont="1" applyBorder="1"/>
    <xf numFmtId="1" fontId="43" fillId="0" borderId="60" xfId="0" applyNumberFormat="1" applyFont="1" applyFill="1" applyBorder="1" applyAlignment="1">
      <alignment vertical="center"/>
    </xf>
    <xf numFmtId="0" fontId="43" fillId="0" borderId="64" xfId="0" applyFont="1" applyFill="1" applyBorder="1" applyAlignment="1">
      <alignment vertical="center"/>
    </xf>
    <xf numFmtId="0" fontId="43" fillId="0" borderId="54" xfId="0" applyFont="1" applyFill="1" applyBorder="1" applyAlignment="1">
      <alignment vertical="center"/>
    </xf>
    <xf numFmtId="0" fontId="35" fillId="0" borderId="6" xfId="0" applyFont="1" applyBorder="1" applyAlignment="1">
      <alignment horizontal="left" vertical="center"/>
    </xf>
    <xf numFmtId="0" fontId="35" fillId="0" borderId="10" xfId="0" applyFont="1" applyBorder="1" applyAlignment="1">
      <alignment horizontal="left"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2" fontId="38" fillId="0" borderId="3" xfId="0" applyNumberFormat="1" applyFont="1" applyBorder="1" applyAlignment="1">
      <alignment vertical="center"/>
    </xf>
    <xf numFmtId="2" fontId="5" fillId="0" borderId="0" xfId="0" applyNumberFormat="1" applyFont="1" applyFill="1" applyBorder="1" applyAlignment="1" applyProtection="1">
      <alignment horizontal="right" vertical="center"/>
    </xf>
    <xf numFmtId="0" fontId="5" fillId="6" borderId="55" xfId="0" applyFont="1" applyFill="1" applyBorder="1" applyAlignment="1" applyProtection="1">
      <alignment vertical="center"/>
    </xf>
    <xf numFmtId="0" fontId="5" fillId="0" borderId="53" xfId="0" applyFont="1" applyBorder="1" applyAlignment="1" applyProtection="1">
      <alignment horizontal="center" vertical="center"/>
    </xf>
    <xf numFmtId="0" fontId="5" fillId="0" borderId="64" xfId="0" applyFont="1" applyBorder="1" applyAlignment="1" applyProtection="1">
      <alignment vertical="center"/>
    </xf>
    <xf numFmtId="0" fontId="5" fillId="0" borderId="64" xfId="0" applyFont="1" applyFill="1" applyBorder="1" applyAlignment="1" applyProtection="1">
      <alignment vertical="center"/>
    </xf>
    <xf numFmtId="2" fontId="5" fillId="0" borderId="64" xfId="0" applyNumberFormat="1" applyFont="1" applyBorder="1" applyAlignment="1" applyProtection="1">
      <alignment horizontal="left" vertical="center"/>
    </xf>
    <xf numFmtId="0" fontId="5" fillId="0" borderId="54" xfId="0" applyFont="1" applyBorder="1" applyAlignment="1" applyProtection="1">
      <alignment vertical="top"/>
    </xf>
    <xf numFmtId="0" fontId="5" fillId="6" borderId="11" xfId="0" applyFont="1" applyFill="1" applyBorder="1" applyAlignment="1" applyProtection="1">
      <alignment horizontal="left" vertical="center"/>
    </xf>
    <xf numFmtId="0" fontId="5" fillId="0" borderId="60" xfId="0" applyFont="1" applyBorder="1" applyAlignment="1" applyProtection="1">
      <alignment horizontal="center" vertical="center"/>
    </xf>
    <xf numFmtId="0" fontId="22"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Fill="1" applyBorder="1" applyAlignment="1" applyProtection="1">
      <alignment horizontal="left" vertical="center"/>
    </xf>
    <xf numFmtId="2" fontId="5" fillId="0" borderId="0" xfId="0" applyNumberFormat="1" applyFont="1" applyBorder="1" applyAlignment="1" applyProtection="1">
      <alignment horizontal="left" vertical="center"/>
    </xf>
    <xf numFmtId="0" fontId="5" fillId="0" borderId="0" xfId="0" applyFont="1" applyBorder="1" applyAlignment="1" applyProtection="1">
      <alignment horizontal="left" vertical="center" indent="1"/>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14" fillId="0" borderId="6" xfId="0" applyFont="1" applyFill="1" applyBorder="1" applyAlignment="1" applyProtection="1">
      <alignment horizontal="center" vertical="top"/>
    </xf>
    <xf numFmtId="0" fontId="8" fillId="0" borderId="0" xfId="0" applyFont="1" applyBorder="1" applyAlignment="1" applyProtection="1">
      <alignment vertical="center"/>
    </xf>
    <xf numFmtId="2" fontId="14"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6" xfId="0" applyFont="1" applyBorder="1" applyAlignment="1" applyProtection="1">
      <alignment vertical="top"/>
    </xf>
    <xf numFmtId="0" fontId="5" fillId="0" borderId="0" xfId="0" applyFont="1" applyBorder="1" applyAlignment="1" applyProtection="1">
      <alignment horizontal="center" vertical="center"/>
    </xf>
    <xf numFmtId="0" fontId="8" fillId="0" borderId="0" xfId="0" applyFont="1" applyFill="1" applyBorder="1" applyAlignment="1" applyProtection="1">
      <alignment vertical="center"/>
    </xf>
    <xf numFmtId="2" fontId="5" fillId="0" borderId="0" xfId="0" applyNumberFormat="1" applyFont="1" applyFill="1" applyBorder="1" applyAlignment="1" applyProtection="1">
      <alignment horizontal="center" vertical="center"/>
    </xf>
    <xf numFmtId="166" fontId="7" fillId="0" borderId="7" xfId="0" applyNumberFormat="1"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2" fontId="5" fillId="0" borderId="7" xfId="0" applyNumberFormat="1" applyFont="1" applyFill="1" applyBorder="1" applyAlignment="1" applyProtection="1">
      <alignment horizontal="left" vertical="center"/>
    </xf>
    <xf numFmtId="0" fontId="5" fillId="0" borderId="6" xfId="0" applyFont="1" applyFill="1" applyBorder="1" applyAlignment="1" applyProtection="1">
      <alignment vertical="top"/>
    </xf>
    <xf numFmtId="2" fontId="18" fillId="0" borderId="0" xfId="0" applyNumberFormat="1" applyFont="1" applyFill="1" applyBorder="1" applyAlignment="1" applyProtection="1">
      <alignment horizontal="center" vertical="center"/>
    </xf>
    <xf numFmtId="2" fontId="8" fillId="0" borderId="0"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2" fontId="7" fillId="0" borderId="0" xfId="0" applyNumberFormat="1" applyFont="1" applyFill="1" applyBorder="1" applyAlignment="1" applyProtection="1">
      <alignment horizontal="center" vertical="center"/>
    </xf>
    <xf numFmtId="0" fontId="5" fillId="6" borderId="11" xfId="0" applyFont="1" applyFill="1" applyBorder="1" applyAlignment="1" applyProtection="1">
      <alignment vertical="center"/>
    </xf>
    <xf numFmtId="166" fontId="7" fillId="0" borderId="0" xfId="0" applyNumberFormat="1" applyFont="1" applyFill="1" applyBorder="1" applyAlignment="1" applyProtection="1">
      <alignment horizontal="center" vertical="center"/>
    </xf>
    <xf numFmtId="0" fontId="5" fillId="0" borderId="0" xfId="0" applyFont="1" applyFill="1" applyAlignment="1" applyProtection="1">
      <alignment vertical="center"/>
    </xf>
    <xf numFmtId="2" fontId="10" fillId="0" borderId="0" xfId="0" applyNumberFormat="1" applyFont="1" applyFill="1" applyBorder="1" applyAlignment="1" applyProtection="1">
      <alignment horizontal="left" vertical="center"/>
    </xf>
    <xf numFmtId="0" fontId="7" fillId="0" borderId="53" xfId="0" applyFont="1" applyFill="1" applyBorder="1" applyAlignment="1" applyProtection="1">
      <alignment horizontal="center" vertical="center"/>
    </xf>
    <xf numFmtId="0" fontId="21" fillId="0" borderId="0" xfId="0" applyFont="1" applyFill="1" applyBorder="1" applyAlignment="1" applyProtection="1">
      <alignment vertical="center"/>
    </xf>
    <xf numFmtId="2" fontId="30" fillId="0" borderId="0" xfId="0" applyNumberFormat="1" applyFont="1" applyFill="1" applyBorder="1" applyAlignment="1" applyProtection="1">
      <alignment horizontal="left" vertical="center"/>
    </xf>
    <xf numFmtId="0" fontId="5" fillId="6" borderId="8" xfId="0" applyFont="1" applyFill="1" applyBorder="1" applyAlignment="1" applyProtection="1">
      <alignment vertical="center"/>
    </xf>
    <xf numFmtId="0" fontId="5" fillId="0" borderId="12" xfId="0" applyFont="1" applyBorder="1" applyAlignment="1" applyProtection="1">
      <alignment horizontal="center" vertical="center"/>
    </xf>
    <xf numFmtId="0" fontId="5" fillId="0" borderId="1" xfId="0" applyFont="1" applyBorder="1" applyAlignment="1" applyProtection="1">
      <alignment vertical="center"/>
    </xf>
    <xf numFmtId="0" fontId="5" fillId="0" borderId="1" xfId="0" applyFont="1" applyFill="1" applyBorder="1" applyAlignment="1" applyProtection="1">
      <alignment vertical="center"/>
    </xf>
    <xf numFmtId="2" fontId="5" fillId="0" borderId="1" xfId="0" applyNumberFormat="1" applyFont="1" applyBorder="1" applyAlignment="1" applyProtection="1">
      <alignment horizontal="right" vertical="center"/>
    </xf>
    <xf numFmtId="0" fontId="5" fillId="0" borderId="10" xfId="0" applyFont="1" applyBorder="1" applyAlignment="1" applyProtection="1">
      <alignment vertical="top"/>
    </xf>
    <xf numFmtId="0" fontId="5" fillId="0" borderId="21" xfId="0" applyFont="1" applyFill="1" applyBorder="1" applyAlignment="1" applyProtection="1">
      <alignment horizontal="center" vertical="center"/>
      <protection locked="0"/>
    </xf>
    <xf numFmtId="2" fontId="8" fillId="0" borderId="0" xfId="0" applyNumberFormat="1" applyFont="1" applyFill="1" applyBorder="1" applyAlignment="1" applyProtection="1">
      <alignment horizontal="center" vertical="center"/>
    </xf>
    <xf numFmtId="2" fontId="8" fillId="0" borderId="0" xfId="0" applyNumberFormat="1" applyFont="1" applyFill="1" applyBorder="1" applyAlignment="1" applyProtection="1">
      <alignment horizontal="right" vertical="center"/>
    </xf>
    <xf numFmtId="0" fontId="5" fillId="0" borderId="0" xfId="0" applyFont="1" applyFill="1" applyBorder="1" applyAlignment="1" applyProtection="1">
      <alignment vertical="top"/>
    </xf>
    <xf numFmtId="0" fontId="5" fillId="0" borderId="0" xfId="0" applyFont="1" applyAlignment="1" applyProtection="1"/>
    <xf numFmtId="2" fontId="2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top"/>
    </xf>
    <xf numFmtId="0" fontId="5" fillId="7" borderId="45" xfId="0" applyFont="1" applyFill="1" applyBorder="1" applyAlignment="1" applyProtection="1">
      <alignment vertical="center"/>
    </xf>
    <xf numFmtId="0" fontId="28" fillId="7" borderId="46" xfId="0" applyFont="1" applyFill="1" applyBorder="1" applyAlignment="1" applyProtection="1">
      <alignment horizontal="left" vertical="center"/>
    </xf>
    <xf numFmtId="0" fontId="5" fillId="7" borderId="46" xfId="0" applyFont="1" applyFill="1" applyBorder="1" applyAlignment="1" applyProtection="1">
      <alignment horizontal="center" vertical="center"/>
    </xf>
    <xf numFmtId="0" fontId="5" fillId="7" borderId="46" xfId="0" applyFont="1" applyFill="1" applyBorder="1" applyAlignment="1" applyProtection="1">
      <alignment horizontal="right" vertical="center"/>
    </xf>
    <xf numFmtId="0" fontId="5" fillId="7" borderId="47" xfId="0" applyFont="1" applyFill="1" applyBorder="1" applyAlignment="1" applyProtection="1">
      <alignment vertical="top"/>
    </xf>
    <xf numFmtId="0" fontId="5" fillId="0" borderId="0" xfId="0" applyFont="1" applyAlignment="1" applyProtection="1">
      <alignment vertical="center"/>
    </xf>
    <xf numFmtId="0" fontId="5" fillId="0" borderId="0" xfId="0" applyFont="1" applyAlignment="1" applyProtection="1">
      <alignment horizontal="center" vertical="center"/>
    </xf>
    <xf numFmtId="0" fontId="7" fillId="0" borderId="0" xfId="0" applyFont="1" applyFill="1" applyBorder="1" applyAlignment="1" applyProtection="1">
      <alignment vertical="center"/>
    </xf>
    <xf numFmtId="2"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vertical="top"/>
    </xf>
    <xf numFmtId="0" fontId="5" fillId="10" borderId="55" xfId="0" applyFont="1" applyFill="1" applyBorder="1" applyAlignment="1" applyProtection="1">
      <alignment vertical="center"/>
    </xf>
    <xf numFmtId="0" fontId="24" fillId="3" borderId="45" xfId="0" applyFont="1" applyFill="1" applyBorder="1" applyAlignment="1" applyProtection="1">
      <alignment vertical="center"/>
    </xf>
    <xf numFmtId="0" fontId="24" fillId="3" borderId="46" xfId="0" applyFont="1" applyFill="1" applyBorder="1" applyAlignment="1" applyProtection="1">
      <alignment vertical="center"/>
    </xf>
    <xf numFmtId="1" fontId="24" fillId="3" borderId="46" xfId="0" applyNumberFormat="1" applyFont="1" applyFill="1" applyBorder="1" applyAlignment="1" applyProtection="1">
      <alignment vertical="center"/>
    </xf>
    <xf numFmtId="0" fontId="24" fillId="3" borderId="47" xfId="0" applyFont="1" applyFill="1" applyBorder="1" applyAlignment="1" applyProtection="1">
      <alignment vertical="center"/>
    </xf>
    <xf numFmtId="2" fontId="8" fillId="4" borderId="29" xfId="0" applyNumberFormat="1" applyFont="1" applyFill="1" applyBorder="1" applyAlignment="1" applyProtection="1">
      <alignment horizontal="left" vertical="center"/>
    </xf>
    <xf numFmtId="0" fontId="5" fillId="4" borderId="28" xfId="0" applyFont="1" applyFill="1" applyBorder="1" applyAlignment="1" applyProtection="1">
      <alignment vertical="top"/>
    </xf>
    <xf numFmtId="0" fontId="8" fillId="3" borderId="19" xfId="0" applyFont="1" applyFill="1" applyBorder="1" applyAlignment="1" applyProtection="1">
      <alignment horizontal="left" vertical="center"/>
    </xf>
    <xf numFmtId="0" fontId="8" fillId="3" borderId="17" xfId="0" applyFont="1" applyFill="1" applyBorder="1" applyAlignment="1" applyProtection="1">
      <alignment horizontal="left" vertical="center"/>
    </xf>
    <xf numFmtId="0" fontId="8" fillId="3" borderId="18" xfId="0" applyFont="1" applyFill="1" applyBorder="1" applyAlignment="1" applyProtection="1">
      <alignment horizontal="left" vertical="center"/>
    </xf>
    <xf numFmtId="0" fontId="5" fillId="10" borderId="11" xfId="0" applyFont="1" applyFill="1" applyBorder="1" applyAlignment="1" applyProtection="1">
      <alignment vertical="center"/>
    </xf>
    <xf numFmtId="0" fontId="5" fillId="0" borderId="2" xfId="0" applyFont="1" applyBorder="1" applyAlignment="1" applyProtection="1">
      <alignment horizontal="center" vertical="center"/>
    </xf>
    <xf numFmtId="0" fontId="24" fillId="0" borderId="3"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2" fontId="7" fillId="0" borderId="2" xfId="0" applyNumberFormat="1" applyFont="1" applyFill="1" applyBorder="1" applyAlignment="1" applyProtection="1">
      <alignment horizontal="right" vertical="center"/>
    </xf>
    <xf numFmtId="0" fontId="8" fillId="0" borderId="4" xfId="0" applyFont="1" applyBorder="1" applyAlignment="1" applyProtection="1">
      <alignment vertical="top"/>
    </xf>
    <xf numFmtId="0" fontId="8" fillId="0" borderId="60" xfId="0" applyFont="1" applyBorder="1" applyAlignment="1" applyProtection="1"/>
    <xf numFmtId="0" fontId="5" fillId="0" borderId="0" xfId="0" applyFont="1" applyBorder="1" applyAlignment="1" applyProtection="1"/>
    <xf numFmtId="0" fontId="7" fillId="0" borderId="0" xfId="0" applyFont="1" applyBorder="1" applyAlignment="1" applyProtection="1"/>
    <xf numFmtId="0" fontId="5" fillId="0" borderId="6" xfId="0" applyFont="1" applyBorder="1" applyAlignment="1" applyProtection="1"/>
    <xf numFmtId="0" fontId="5" fillId="0" borderId="5" xfId="0" applyFont="1" applyBorder="1" applyAlignment="1" applyProtection="1">
      <alignment horizontal="center" vertical="center"/>
    </xf>
    <xf numFmtId="0" fontId="24" fillId="0" borderId="0" xfId="0" applyFont="1" applyBorder="1" applyAlignment="1" applyProtection="1">
      <alignment vertical="center"/>
    </xf>
    <xf numFmtId="2" fontId="7" fillId="0" borderId="60" xfId="0" applyNumberFormat="1" applyFont="1" applyFill="1" applyBorder="1" applyAlignment="1" applyProtection="1">
      <alignment horizontal="right" vertical="center"/>
    </xf>
    <xf numFmtId="0" fontId="5" fillId="0" borderId="60" xfId="0" applyFont="1" applyBorder="1" applyAlignment="1" applyProtection="1"/>
    <xf numFmtId="0" fontId="5" fillId="0" borderId="0" xfId="0" applyFont="1" applyFill="1" applyBorder="1" applyAlignment="1" applyProtection="1"/>
    <xf numFmtId="0" fontId="25" fillId="0" borderId="0" xfId="0" applyFont="1" applyBorder="1" applyAlignment="1" applyProtection="1">
      <alignment vertical="center"/>
    </xf>
    <xf numFmtId="0" fontId="5" fillId="0" borderId="6" xfId="0" applyFont="1" applyBorder="1" applyAlignment="1" applyProtection="1">
      <alignment vertical="center"/>
    </xf>
    <xf numFmtId="0" fontId="5" fillId="0" borderId="0" xfId="0" applyFont="1" applyFill="1" applyBorder="1" applyAlignment="1" applyProtection="1">
      <alignment horizontal="center"/>
    </xf>
    <xf numFmtId="2" fontId="7" fillId="0" borderId="0" xfId="0" applyNumberFormat="1" applyFont="1" applyBorder="1" applyAlignment="1" applyProtection="1">
      <alignment horizontal="center" vertical="center"/>
    </xf>
    <xf numFmtId="0" fontId="8" fillId="0" borderId="0" xfId="0" applyFont="1" applyBorder="1" applyAlignment="1" applyProtection="1"/>
    <xf numFmtId="0" fontId="5" fillId="0" borderId="6" xfId="0" applyFont="1" applyFill="1" applyBorder="1" applyAlignment="1" applyProtection="1">
      <alignment vertical="center"/>
    </xf>
    <xf numFmtId="0" fontId="11" fillId="0" borderId="60" xfId="0" applyFont="1" applyBorder="1" applyAlignment="1" applyProtection="1"/>
    <xf numFmtId="2" fontId="18" fillId="0" borderId="0" xfId="0" applyNumberFormat="1" applyFont="1" applyBorder="1" applyAlignment="1" applyProtection="1">
      <alignment horizontal="right"/>
    </xf>
    <xf numFmtId="0" fontId="9" fillId="0" borderId="0" xfId="0" applyFont="1" applyBorder="1" applyAlignment="1" applyProtection="1"/>
    <xf numFmtId="0" fontId="5" fillId="0" borderId="6" xfId="0" applyFont="1" applyFill="1" applyBorder="1" applyAlignment="1" applyProtection="1"/>
    <xf numFmtId="0" fontId="25" fillId="3" borderId="61" xfId="0" applyFont="1" applyFill="1" applyBorder="1" applyAlignment="1" applyProtection="1">
      <alignment vertical="center"/>
    </xf>
    <xf numFmtId="0" fontId="5" fillId="3" borderId="61" xfId="0" applyFont="1" applyFill="1" applyBorder="1" applyAlignment="1" applyProtection="1">
      <alignment vertical="center"/>
    </xf>
    <xf numFmtId="1" fontId="25" fillId="3" borderId="61" xfId="0" applyNumberFormat="1" applyFont="1" applyFill="1" applyBorder="1" applyAlignment="1" applyProtection="1">
      <alignment horizontal="right" vertical="center"/>
    </xf>
    <xf numFmtId="0" fontId="9" fillId="3" borderId="62" xfId="0" applyFont="1" applyFill="1" applyBorder="1" applyAlignment="1" applyProtection="1">
      <alignment vertical="center"/>
    </xf>
    <xf numFmtId="0" fontId="8" fillId="0" borderId="53" xfId="0" applyFont="1" applyBorder="1" applyAlignment="1" applyProtection="1"/>
    <xf numFmtId="0" fontId="5" fillId="0" borderId="64" xfId="0" applyFont="1" applyBorder="1" applyAlignment="1" applyProtection="1"/>
    <xf numFmtId="0" fontId="5" fillId="0" borderId="64" xfId="0" applyFont="1" applyFill="1" applyBorder="1" applyAlignment="1" applyProtection="1"/>
    <xf numFmtId="0" fontId="8" fillId="0" borderId="64" xfId="0" applyFont="1" applyBorder="1" applyAlignment="1" applyProtection="1"/>
    <xf numFmtId="0" fontId="5" fillId="0" borderId="54" xfId="0" applyFont="1" applyFill="1" applyBorder="1" applyAlignment="1" applyProtection="1"/>
    <xf numFmtId="0" fontId="9" fillId="0" borderId="6" xfId="0" applyFont="1" applyFill="1" applyBorder="1" applyAlignment="1" applyProtection="1">
      <alignment vertical="center"/>
    </xf>
    <xf numFmtId="0" fontId="5" fillId="0" borderId="12" xfId="0" applyFont="1" applyBorder="1" applyAlignment="1" applyProtection="1"/>
    <xf numFmtId="0" fontId="5" fillId="0" borderId="1" xfId="0" applyFont="1" applyBorder="1" applyAlignment="1" applyProtection="1"/>
    <xf numFmtId="0" fontId="8" fillId="0" borderId="1" xfId="0" applyFont="1" applyBorder="1" applyAlignment="1" applyProtection="1"/>
    <xf numFmtId="0" fontId="5" fillId="0" borderId="1" xfId="0" applyFont="1" applyFill="1" applyBorder="1" applyAlignment="1" applyProtection="1"/>
    <xf numFmtId="0" fontId="5" fillId="0" borderId="10" xfId="0" applyFont="1" applyFill="1" applyBorder="1" applyAlignment="1" applyProtection="1"/>
    <xf numFmtId="0" fontId="8" fillId="0" borderId="60" xfId="0" applyFont="1" applyFill="1" applyBorder="1" applyAlignment="1" applyProtection="1"/>
    <xf numFmtId="2" fontId="18" fillId="0" borderId="0" xfId="0" applyNumberFormat="1" applyFont="1" applyFill="1" applyBorder="1" applyAlignment="1" applyProtection="1"/>
    <xf numFmtId="0" fontId="8" fillId="0" borderId="0" xfId="0" applyFont="1" applyFill="1" applyBorder="1" applyAlignment="1" applyProtection="1"/>
    <xf numFmtId="49" fontId="5" fillId="0" borderId="0" xfId="0" applyNumberFormat="1" applyFont="1" applyBorder="1" applyAlignment="1" applyProtection="1"/>
    <xf numFmtId="49" fontId="5" fillId="0" borderId="6" xfId="0" applyNumberFormat="1" applyFont="1" applyBorder="1" applyAlignment="1" applyProtection="1"/>
    <xf numFmtId="0" fontId="18" fillId="0" borderId="0" xfId="0" applyFont="1" applyBorder="1" applyAlignment="1" applyProtection="1">
      <alignment horizontal="center" vertical="center"/>
    </xf>
    <xf numFmtId="0" fontId="5" fillId="0" borderId="6" xfId="0" applyFont="1" applyBorder="1" applyAlignment="1" applyProtection="1">
      <alignment horizontal="center"/>
    </xf>
    <xf numFmtId="0" fontId="5" fillId="0" borderId="60" xfId="0" applyFont="1" applyFill="1" applyBorder="1" applyAlignment="1" applyProtection="1"/>
    <xf numFmtId="0" fontId="9" fillId="0" borderId="0" xfId="0" applyFont="1" applyFill="1" applyBorder="1" applyAlignment="1" applyProtection="1"/>
    <xf numFmtId="2" fontId="7" fillId="0" borderId="0" xfId="0" applyNumberFormat="1" applyFont="1" applyFill="1" applyBorder="1" applyAlignment="1" applyProtection="1"/>
    <xf numFmtId="0" fontId="7" fillId="0" borderId="0" xfId="0" applyFont="1" applyFill="1" applyBorder="1" applyAlignment="1" applyProtection="1"/>
    <xf numFmtId="0" fontId="7" fillId="0" borderId="0" xfId="0" applyFont="1" applyBorder="1" applyAlignment="1" applyProtection="1">
      <alignment horizontal="right"/>
    </xf>
    <xf numFmtId="0" fontId="15" fillId="0" borderId="6" xfId="0" applyFont="1" applyFill="1" applyBorder="1" applyAlignment="1" applyProtection="1">
      <alignment horizontal="left"/>
    </xf>
    <xf numFmtId="0" fontId="23" fillId="0" borderId="0" xfId="0" applyFont="1" applyFill="1" applyBorder="1" applyAlignment="1" applyProtection="1"/>
    <xf numFmtId="0" fontId="15" fillId="0" borderId="0" xfId="0" applyFont="1" applyFill="1" applyBorder="1" applyAlignment="1" applyProtection="1"/>
    <xf numFmtId="2" fontId="18" fillId="0" borderId="0" xfId="0" applyNumberFormat="1" applyFont="1" applyBorder="1" applyAlignment="1" applyProtection="1"/>
    <xf numFmtId="0" fontId="23" fillId="0" borderId="6" xfId="0" applyFont="1" applyFill="1" applyBorder="1" applyAlignment="1" applyProtection="1">
      <alignment horizontal="left"/>
    </xf>
    <xf numFmtId="0" fontId="24" fillId="3" borderId="42" xfId="0" applyFont="1" applyFill="1" applyBorder="1" applyAlignment="1" applyProtection="1">
      <alignment vertical="center"/>
    </xf>
    <xf numFmtId="0" fontId="25" fillId="3" borderId="43" xfId="0" applyFont="1" applyFill="1" applyBorder="1" applyAlignment="1" applyProtection="1">
      <alignment vertical="center"/>
    </xf>
    <xf numFmtId="1" fontId="25" fillId="3" borderId="43" xfId="0" applyNumberFormat="1" applyFont="1" applyFill="1" applyBorder="1" applyAlignment="1" applyProtection="1">
      <alignment vertical="center"/>
    </xf>
    <xf numFmtId="0" fontId="25" fillId="3" borderId="44" xfId="0" applyFont="1" applyFill="1" applyBorder="1" applyAlignment="1" applyProtection="1">
      <alignment vertical="center"/>
    </xf>
    <xf numFmtId="0" fontId="7" fillId="0" borderId="3" xfId="0" applyFont="1" applyFill="1" applyBorder="1" applyAlignment="1" applyProtection="1">
      <alignment horizontal="center" vertical="center"/>
    </xf>
    <xf numFmtId="0" fontId="9" fillId="0" borderId="3" xfId="0" applyFont="1" applyFill="1" applyBorder="1" applyAlignment="1" applyProtection="1">
      <alignment vertical="center"/>
    </xf>
    <xf numFmtId="0" fontId="10" fillId="0" borderId="4" xfId="0" applyFont="1" applyBorder="1" applyAlignment="1" applyProtection="1">
      <alignment vertical="center"/>
    </xf>
    <xf numFmtId="0" fontId="10" fillId="0" borderId="11" xfId="0" applyFont="1" applyFill="1" applyBorder="1" applyAlignment="1" applyProtection="1">
      <alignment vertical="center"/>
    </xf>
    <xf numFmtId="2" fontId="7" fillId="0" borderId="0" xfId="0" applyNumberFormat="1" applyFont="1" applyBorder="1" applyAlignment="1" applyProtection="1">
      <alignment horizontal="right" vertical="center"/>
    </xf>
    <xf numFmtId="0" fontId="5" fillId="0" borderId="53" xfId="0" applyFont="1" applyBorder="1" applyAlignment="1" applyProtection="1"/>
    <xf numFmtId="166" fontId="7" fillId="0" borderId="64" xfId="0" applyNumberFormat="1" applyFont="1" applyBorder="1" applyAlignment="1" applyProtection="1"/>
    <xf numFmtId="0" fontId="5" fillId="0" borderId="54" xfId="0" applyFont="1" applyBorder="1" applyAlignment="1" applyProtection="1"/>
    <xf numFmtId="0" fontId="5" fillId="0" borderId="11" xfId="0" applyFont="1" applyFill="1" applyBorder="1" applyAlignment="1" applyProtection="1">
      <alignment vertical="center"/>
    </xf>
    <xf numFmtId="2" fontId="5" fillId="0" borderId="0" xfId="0" applyNumberFormat="1" applyFont="1" applyAlignment="1" applyProtection="1">
      <alignment horizontal="right" vertical="center"/>
    </xf>
    <xf numFmtId="0" fontId="8" fillId="0" borderId="12" xfId="0" applyFont="1" applyBorder="1" applyAlignment="1" applyProtection="1"/>
    <xf numFmtId="166" fontId="18" fillId="0" borderId="1" xfId="0" applyNumberFormat="1" applyFont="1" applyBorder="1" applyAlignment="1" applyProtection="1"/>
    <xf numFmtId="0" fontId="5" fillId="0" borderId="10" xfId="0" applyFont="1" applyBorder="1" applyAlignment="1" applyProtection="1"/>
    <xf numFmtId="0" fontId="24" fillId="0" borderId="0" xfId="0" applyFont="1" applyFill="1" applyBorder="1" applyAlignment="1" applyProtection="1">
      <alignment vertical="center"/>
    </xf>
    <xf numFmtId="2" fontId="7" fillId="0" borderId="1" xfId="0" applyNumberFormat="1" applyFont="1" applyBorder="1" applyAlignment="1" applyProtection="1">
      <alignment horizontal="center" vertical="center"/>
    </xf>
    <xf numFmtId="0" fontId="5" fillId="0" borderId="10" xfId="0" applyFont="1" applyFill="1" applyBorder="1" applyAlignment="1" applyProtection="1">
      <alignment vertical="center"/>
    </xf>
    <xf numFmtId="0" fontId="5" fillId="0" borderId="49" xfId="0" applyFont="1" applyBorder="1" applyAlignment="1" applyProtection="1">
      <alignment horizontal="center" vertical="center"/>
    </xf>
    <xf numFmtId="0" fontId="5" fillId="0" borderId="49" xfId="0" applyFont="1" applyBorder="1" applyAlignment="1" applyProtection="1">
      <alignment vertical="center"/>
    </xf>
    <xf numFmtId="0" fontId="5" fillId="0" borderId="49" xfId="0" applyFont="1" applyFill="1" applyBorder="1" applyAlignment="1" applyProtection="1">
      <alignment vertical="center"/>
    </xf>
    <xf numFmtId="2" fontId="7" fillId="0" borderId="30" xfId="0" applyNumberFormat="1" applyFont="1" applyBorder="1" applyAlignment="1" applyProtection="1">
      <alignment horizontal="right" vertical="center"/>
    </xf>
    <xf numFmtId="0" fontId="5" fillId="0" borderId="0" xfId="0" applyFont="1" applyBorder="1" applyAlignment="1" applyProtection="1">
      <alignment vertical="top"/>
    </xf>
    <xf numFmtId="0" fontId="5" fillId="11" borderId="55" xfId="0" applyFont="1" applyFill="1" applyBorder="1" applyAlignment="1" applyProtection="1">
      <alignment vertical="center"/>
    </xf>
    <xf numFmtId="0" fontId="24" fillId="3" borderId="43" xfId="0" applyFont="1" applyFill="1" applyBorder="1" applyAlignment="1" applyProtection="1">
      <alignment vertical="center"/>
    </xf>
    <xf numFmtId="1" fontId="24" fillId="3" borderId="43" xfId="0" applyNumberFormat="1" applyFont="1" applyFill="1" applyBorder="1" applyAlignment="1" applyProtection="1">
      <alignment vertical="center"/>
    </xf>
    <xf numFmtId="0" fontId="24" fillId="3" borderId="44" xfId="0" applyFont="1" applyFill="1" applyBorder="1" applyAlignment="1" applyProtection="1">
      <alignment vertical="center"/>
    </xf>
    <xf numFmtId="0" fontId="5" fillId="11" borderId="11" xfId="0" quotePrefix="1" applyFont="1" applyFill="1" applyBorder="1" applyAlignment="1" applyProtection="1">
      <alignment vertical="center"/>
    </xf>
    <xf numFmtId="0" fontId="5" fillId="0" borderId="64" xfId="0" applyFont="1" applyBorder="1" applyAlignment="1" applyProtection="1">
      <alignment horizontal="center" vertical="center"/>
    </xf>
    <xf numFmtId="0" fontId="8" fillId="0" borderId="3" xfId="0" applyFont="1" applyBorder="1" applyAlignment="1" applyProtection="1">
      <alignment vertical="center"/>
    </xf>
    <xf numFmtId="0" fontId="5" fillId="0" borderId="40" xfId="0" quotePrefix="1" applyFont="1" applyFill="1" applyBorder="1" applyAlignment="1" applyProtection="1">
      <alignment horizontal="left" vertical="center"/>
    </xf>
    <xf numFmtId="1" fontId="7" fillId="0" borderId="54" xfId="0" applyNumberFormat="1" applyFont="1" applyBorder="1" applyAlignment="1" applyProtection="1">
      <alignment horizontal="center" vertical="center"/>
    </xf>
    <xf numFmtId="2" fontId="7" fillId="0" borderId="60" xfId="0" applyNumberFormat="1" applyFont="1" applyBorder="1" applyAlignment="1" applyProtection="1">
      <alignment horizontal="right" vertical="center"/>
    </xf>
    <xf numFmtId="0" fontId="8" fillId="0" borderId="5" xfId="0" applyFont="1" applyBorder="1" applyAlignment="1" applyProtection="1"/>
    <xf numFmtId="0" fontId="5" fillId="0" borderId="14" xfId="0" applyFont="1" applyBorder="1" applyAlignment="1" applyProtection="1"/>
    <xf numFmtId="0" fontId="5" fillId="11" borderId="11" xfId="0" applyFont="1" applyFill="1" applyBorder="1" applyAlignment="1" applyProtection="1">
      <alignment vertical="center"/>
    </xf>
    <xf numFmtId="0" fontId="5" fillId="0" borderId="5" xfId="0" applyFont="1" applyBorder="1" applyAlignment="1" applyProtection="1"/>
    <xf numFmtId="0" fontId="11" fillId="0" borderId="5" xfId="0" applyFont="1" applyBorder="1" applyAlignment="1" applyProtection="1"/>
    <xf numFmtId="0" fontId="8" fillId="0" borderId="0" xfId="0" applyFont="1" applyFill="1" applyBorder="1" applyAlignment="1" applyProtection="1">
      <alignment horizontal="center" vertical="center"/>
    </xf>
    <xf numFmtId="0" fontId="8" fillId="0" borderId="12" xfId="0" applyFont="1" applyFill="1" applyBorder="1" applyAlignment="1" applyProtection="1"/>
    <xf numFmtId="0" fontId="23" fillId="0" borderId="1" xfId="0" applyFont="1" applyFill="1" applyBorder="1" applyAlignment="1" applyProtection="1"/>
    <xf numFmtId="0" fontId="15" fillId="0" borderId="1" xfId="0" applyFont="1" applyFill="1" applyBorder="1" applyAlignment="1" applyProtection="1"/>
    <xf numFmtId="2" fontId="18" fillId="0" borderId="1" xfId="0" applyNumberFormat="1" applyFont="1" applyFill="1" applyBorder="1" applyAlignment="1" applyProtection="1"/>
    <xf numFmtId="0" fontId="8" fillId="0" borderId="1" xfId="0" applyFont="1" applyFill="1" applyBorder="1" applyAlignment="1" applyProtection="1"/>
    <xf numFmtId="2" fontId="18" fillId="0" borderId="1" xfId="0" applyNumberFormat="1" applyFont="1" applyBorder="1" applyAlignment="1" applyProtection="1"/>
    <xf numFmtId="0" fontId="23" fillId="0" borderId="10" xfId="0" applyFont="1" applyFill="1" applyBorder="1" applyAlignment="1" applyProtection="1">
      <alignment horizontal="left"/>
    </xf>
    <xf numFmtId="166" fontId="7" fillId="0" borderId="0" xfId="0" applyNumberFormat="1" applyFont="1" applyBorder="1" applyAlignment="1" applyProtection="1"/>
    <xf numFmtId="0" fontId="8" fillId="0" borderId="54" xfId="0" applyFont="1" applyBorder="1" applyAlignment="1" applyProtection="1">
      <alignment horizontal="left" vertical="center"/>
    </xf>
    <xf numFmtId="0" fontId="5" fillId="0" borderId="64" xfId="0" quotePrefix="1" applyFont="1" applyFill="1" applyBorder="1" applyAlignment="1" applyProtection="1">
      <alignment horizontal="left" vertical="center"/>
    </xf>
    <xf numFmtId="0" fontId="5" fillId="0" borderId="54" xfId="0" applyFont="1" applyBorder="1" applyAlignment="1" applyProtection="1">
      <alignment vertical="center"/>
    </xf>
    <xf numFmtId="2" fontId="7" fillId="0" borderId="53" xfId="0" applyNumberFormat="1" applyFont="1" applyBorder="1" applyAlignment="1" applyProtection="1">
      <alignment horizontal="right" vertical="center"/>
    </xf>
    <xf numFmtId="0" fontId="18" fillId="0" borderId="0" xfId="0" applyFont="1" applyBorder="1" applyAlignment="1" applyProtection="1"/>
    <xf numFmtId="166" fontId="18" fillId="0" borderId="0" xfId="0" applyNumberFormat="1" applyFont="1" applyBorder="1" applyAlignment="1" applyProtection="1"/>
    <xf numFmtId="0" fontId="5" fillId="0" borderId="10" xfId="0" applyFont="1" applyBorder="1" applyAlignment="1" applyProtection="1">
      <alignment vertical="center"/>
    </xf>
    <xf numFmtId="2" fontId="8" fillId="4" borderId="12" xfId="0" applyNumberFormat="1" applyFont="1" applyFill="1" applyBorder="1" applyAlignment="1" applyProtection="1">
      <alignment horizontal="left" vertical="center"/>
    </xf>
    <xf numFmtId="0" fontId="5" fillId="4" borderId="10" xfId="0" applyFont="1" applyFill="1" applyBorder="1" applyAlignment="1" applyProtection="1">
      <alignment vertical="top"/>
    </xf>
    <xf numFmtId="2" fontId="5" fillId="0" borderId="60" xfId="0" applyNumberFormat="1" applyFont="1" applyBorder="1" applyAlignment="1" applyProtection="1">
      <alignment horizontal="right" vertical="center"/>
    </xf>
    <xf numFmtId="0" fontId="8" fillId="0" borderId="1" xfId="0" applyFont="1" applyBorder="1" applyAlignment="1" applyProtection="1">
      <alignment vertical="center"/>
    </xf>
    <xf numFmtId="0" fontId="8" fillId="0" borderId="49" xfId="0" applyFont="1" applyBorder="1" applyAlignment="1" applyProtection="1">
      <alignment vertical="center"/>
    </xf>
    <xf numFmtId="2" fontId="5" fillId="0" borderId="30" xfId="0" applyNumberFormat="1" applyFont="1" applyBorder="1" applyAlignment="1" applyProtection="1">
      <alignment horizontal="right" vertical="center"/>
    </xf>
    <xf numFmtId="0" fontId="5" fillId="13" borderId="55" xfId="0" applyFont="1" applyFill="1" applyBorder="1" applyAlignment="1" applyProtection="1">
      <alignment vertical="center"/>
    </xf>
    <xf numFmtId="0" fontId="24" fillId="3" borderId="49" xfId="0" applyFont="1" applyFill="1" applyBorder="1" applyAlignment="1" applyProtection="1">
      <alignment vertical="center"/>
    </xf>
    <xf numFmtId="1" fontId="24" fillId="3" borderId="49" xfId="0" applyNumberFormat="1" applyFont="1" applyFill="1" applyBorder="1" applyAlignment="1" applyProtection="1">
      <alignment vertical="center"/>
    </xf>
    <xf numFmtId="0" fontId="24" fillId="3" borderId="50" xfId="0" applyFont="1" applyFill="1" applyBorder="1" applyAlignment="1" applyProtection="1">
      <alignment vertical="center"/>
    </xf>
    <xf numFmtId="0" fontId="5" fillId="13" borderId="11" xfId="0" applyFont="1" applyFill="1" applyBorder="1" applyAlignment="1" applyProtection="1">
      <alignment vertical="center"/>
    </xf>
    <xf numFmtId="0" fontId="5" fillId="0" borderId="51" xfId="0" applyFont="1" applyBorder="1" applyAlignment="1" applyProtection="1">
      <alignment horizontal="center" vertical="center"/>
    </xf>
    <xf numFmtId="0" fontId="8" fillId="0" borderId="40" xfId="0" applyFont="1" applyBorder="1" applyAlignment="1" applyProtection="1">
      <alignment vertical="center"/>
    </xf>
    <xf numFmtId="2" fontId="5" fillId="0" borderId="0" xfId="0" applyNumberFormat="1" applyFont="1" applyBorder="1" applyAlignment="1" applyProtection="1">
      <alignment horizontal="right" vertical="center"/>
    </xf>
    <xf numFmtId="0" fontId="5" fillId="0" borderId="60" xfId="0" applyFont="1" applyBorder="1" applyAlignment="1" applyProtection="1">
      <alignment vertical="center"/>
    </xf>
    <xf numFmtId="0" fontId="5" fillId="0" borderId="1" xfId="0" applyFont="1" applyBorder="1" applyAlignment="1" applyProtection="1">
      <alignment horizontal="center" vertical="center"/>
    </xf>
    <xf numFmtId="0" fontId="5" fillId="0" borderId="5" xfId="0" applyFont="1" applyFill="1" applyBorder="1" applyAlignment="1" applyProtection="1">
      <alignment vertical="center"/>
    </xf>
    <xf numFmtId="2" fontId="25" fillId="0" borderId="60" xfId="0" applyNumberFormat="1" applyFont="1" applyFill="1" applyBorder="1" applyAlignment="1" applyProtection="1">
      <alignment horizontal="right" vertical="center" textRotation="255"/>
    </xf>
    <xf numFmtId="0" fontId="8" fillId="0" borderId="0" xfId="0" applyFont="1" applyAlignment="1" applyProtection="1"/>
    <xf numFmtId="2" fontId="25" fillId="0" borderId="30" xfId="0" applyNumberFormat="1" applyFont="1" applyFill="1" applyBorder="1" applyAlignment="1" applyProtection="1">
      <alignment horizontal="right" vertical="center" textRotation="255"/>
    </xf>
    <xf numFmtId="0" fontId="5" fillId="0" borderId="30" xfId="0" applyFont="1" applyBorder="1" applyAlignment="1" applyProtection="1">
      <alignment vertical="top"/>
    </xf>
    <xf numFmtId="0" fontId="5" fillId="12" borderId="55" xfId="0" applyFont="1" applyFill="1" applyBorder="1" applyAlignment="1" applyProtection="1">
      <alignment vertical="center"/>
    </xf>
    <xf numFmtId="0" fontId="5" fillId="12" borderId="11" xfId="0" applyFont="1" applyFill="1" applyBorder="1" applyAlignment="1" applyProtection="1">
      <alignment vertical="center"/>
    </xf>
    <xf numFmtId="0" fontId="8" fillId="0" borderId="64" xfId="0" applyFont="1" applyBorder="1" applyAlignment="1" applyProtection="1">
      <alignment vertical="center"/>
    </xf>
    <xf numFmtId="2" fontId="25" fillId="0" borderId="53" xfId="0" applyNumberFormat="1" applyFont="1" applyFill="1" applyBorder="1" applyAlignment="1" applyProtection="1">
      <alignment horizontal="right" vertical="center" textRotation="255"/>
    </xf>
    <xf numFmtId="0" fontId="9" fillId="0" borderId="0" xfId="0" applyFont="1" applyFill="1" applyBorder="1" applyAlignment="1" applyProtection="1">
      <alignment horizontal="center" vertical="center"/>
    </xf>
    <xf numFmtId="2" fontId="5" fillId="0" borderId="60" xfId="0" applyNumberFormat="1" applyFont="1" applyFill="1" applyBorder="1" applyAlignment="1" applyProtection="1">
      <alignment horizontal="right" vertical="center"/>
    </xf>
    <xf numFmtId="0" fontId="5" fillId="0" borderId="6" xfId="0" applyFont="1" applyFill="1" applyBorder="1" applyAlignment="1" applyProtection="1">
      <alignment horizontal="left" vertical="top"/>
    </xf>
    <xf numFmtId="0" fontId="5" fillId="14" borderId="55" xfId="0" applyFont="1" applyFill="1" applyBorder="1" applyAlignment="1" applyProtection="1">
      <alignment vertical="center"/>
    </xf>
    <xf numFmtId="0" fontId="24" fillId="3" borderId="48" xfId="0" applyFont="1" applyFill="1" applyBorder="1" applyAlignment="1" applyProtection="1">
      <alignment vertical="center"/>
    </xf>
    <xf numFmtId="0" fontId="5" fillId="14" borderId="11" xfId="0" applyFont="1" applyFill="1" applyBorder="1" applyAlignment="1" applyProtection="1">
      <alignment vertical="center"/>
    </xf>
    <xf numFmtId="0" fontId="5" fillId="0" borderId="37" xfId="0" applyFont="1" applyBorder="1" applyAlignment="1" applyProtection="1">
      <alignment horizontal="center" vertical="center"/>
    </xf>
    <xf numFmtId="0" fontId="8" fillId="0" borderId="51" xfId="0" applyFont="1" applyBorder="1" applyAlignment="1" applyProtection="1">
      <alignment vertical="center"/>
    </xf>
    <xf numFmtId="0" fontId="7" fillId="0" borderId="51" xfId="0" applyFont="1" applyBorder="1" applyAlignment="1" applyProtection="1">
      <alignment horizontal="center" vertical="center"/>
    </xf>
    <xf numFmtId="0" fontId="7" fillId="0" borderId="51" xfId="0" applyFont="1" applyFill="1" applyBorder="1" applyAlignment="1" applyProtection="1">
      <alignment horizontal="left" vertical="center"/>
    </xf>
    <xf numFmtId="0" fontId="21" fillId="0" borderId="38" xfId="0" applyFont="1" applyBorder="1" applyAlignment="1" applyProtection="1">
      <alignment horizontal="center" vertical="center"/>
    </xf>
    <xf numFmtId="0" fontId="7" fillId="0" borderId="6" xfId="0" applyFont="1" applyBorder="1" applyAlignment="1" applyProtection="1">
      <alignment horizontal="left" vertical="center"/>
    </xf>
    <xf numFmtId="0" fontId="7" fillId="0" borderId="6" xfId="0" applyFont="1" applyBorder="1" applyAlignment="1" applyProtection="1">
      <alignment horizontal="center" vertical="center"/>
    </xf>
    <xf numFmtId="0" fontId="5" fillId="15" borderId="55" xfId="0" applyFont="1" applyFill="1" applyBorder="1" applyAlignment="1" applyProtection="1">
      <alignment vertical="center"/>
    </xf>
    <xf numFmtId="0" fontId="5" fillId="15" borderId="11" xfId="0" applyFont="1" applyFill="1" applyBorder="1" applyAlignment="1" applyProtection="1">
      <alignment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21" fillId="0" borderId="41" xfId="0" applyFont="1" applyBorder="1" applyAlignment="1" applyProtection="1">
      <alignment horizontal="center" vertical="center"/>
    </xf>
    <xf numFmtId="2" fontId="5" fillId="0" borderId="2" xfId="0" applyNumberFormat="1" applyFont="1" applyBorder="1" applyAlignment="1" applyProtection="1">
      <alignment horizontal="right" vertical="center"/>
    </xf>
    <xf numFmtId="0" fontId="5" fillId="0" borderId="4" xfId="0" applyFont="1" applyBorder="1" applyAlignment="1" applyProtection="1">
      <alignment vertical="top"/>
    </xf>
    <xf numFmtId="0" fontId="18" fillId="0" borderId="6" xfId="0" applyFont="1" applyBorder="1" applyAlignment="1" applyProtection="1">
      <alignment horizontal="left" vertical="center"/>
    </xf>
    <xf numFmtId="2" fontId="7" fillId="0" borderId="12" xfId="0" applyNumberFormat="1" applyFont="1" applyBorder="1" applyAlignment="1" applyProtection="1">
      <alignment horizontal="right" vertical="center"/>
    </xf>
    <xf numFmtId="166" fontId="7" fillId="0" borderId="0" xfId="0" applyNumberFormat="1" applyFont="1" applyBorder="1" applyAlignment="1" applyProtection="1">
      <alignment horizontal="center" vertical="center"/>
    </xf>
    <xf numFmtId="0" fontId="32" fillId="7" borderId="2" xfId="0" applyFont="1" applyFill="1" applyBorder="1" applyAlignment="1" applyProtection="1">
      <alignment horizontal="right" vertical="center"/>
    </xf>
    <xf numFmtId="0" fontId="32" fillId="7" borderId="4" xfId="0" applyFont="1" applyFill="1" applyBorder="1" applyAlignment="1" applyProtection="1">
      <alignment horizontal="center" vertical="center"/>
    </xf>
    <xf numFmtId="0" fontId="32" fillId="7" borderId="12" xfId="0" applyFont="1" applyFill="1" applyBorder="1" applyAlignment="1" applyProtection="1">
      <alignment horizontal="right" vertical="center"/>
    </xf>
    <xf numFmtId="0" fontId="32" fillId="7" borderId="10" xfId="0" applyFont="1" applyFill="1" applyBorder="1" applyAlignment="1" applyProtection="1">
      <alignment horizontal="center" vertical="center"/>
    </xf>
    <xf numFmtId="0" fontId="5" fillId="16" borderId="55" xfId="0" applyFont="1" applyFill="1" applyBorder="1" applyAlignment="1" applyProtection="1">
      <alignment vertical="center"/>
    </xf>
    <xf numFmtId="0" fontId="24" fillId="4" borderId="49" xfId="0" applyFont="1" applyFill="1" applyBorder="1" applyAlignment="1" applyProtection="1">
      <alignment vertical="center"/>
    </xf>
    <xf numFmtId="0" fontId="24" fillId="4" borderId="50" xfId="0" applyFont="1" applyFill="1" applyBorder="1" applyAlignment="1" applyProtection="1">
      <alignment vertical="center"/>
    </xf>
    <xf numFmtId="0" fontId="8" fillId="4" borderId="29" xfId="0" applyFont="1" applyFill="1" applyBorder="1" applyAlignment="1" applyProtection="1">
      <alignment horizontal="left" vertical="center"/>
    </xf>
    <xf numFmtId="0" fontId="8" fillId="4" borderId="28" xfId="0" applyFont="1" applyFill="1" applyBorder="1" applyAlignment="1" applyProtection="1">
      <alignment horizontal="left" vertical="center"/>
    </xf>
    <xf numFmtId="0" fontId="5" fillId="16" borderId="11" xfId="0" applyFont="1" applyFill="1" applyBorder="1" applyAlignment="1" applyProtection="1">
      <alignment vertical="center"/>
    </xf>
    <xf numFmtId="0" fontId="5" fillId="0" borderId="51" xfId="0" applyFont="1" applyBorder="1" applyAlignment="1" applyProtection="1">
      <alignment vertical="center"/>
    </xf>
    <xf numFmtId="0" fontId="5" fillId="0" borderId="51" xfId="0" applyFont="1" applyFill="1" applyBorder="1" applyAlignment="1" applyProtection="1">
      <alignment vertical="center"/>
    </xf>
    <xf numFmtId="0" fontId="8" fillId="0" borderId="0" xfId="0" applyFont="1" applyBorder="1" applyAlignment="1" applyProtection="1">
      <alignment horizontal="center" vertical="center"/>
    </xf>
    <xf numFmtId="2" fontId="7" fillId="0" borderId="0" xfId="0" applyNumberFormat="1" applyFont="1" applyBorder="1" applyAlignment="1" applyProtection="1">
      <alignment vertical="center"/>
    </xf>
    <xf numFmtId="0" fontId="5" fillId="16" borderId="8" xfId="0" applyFont="1" applyFill="1" applyBorder="1" applyAlignment="1" applyProtection="1">
      <alignment vertical="center"/>
    </xf>
    <xf numFmtId="1" fontId="8" fillId="0" borderId="1" xfId="0" applyNumberFormat="1" applyFont="1" applyFill="1" applyBorder="1" applyAlignment="1" applyProtection="1">
      <alignment horizontal="center" vertical="center"/>
    </xf>
    <xf numFmtId="0" fontId="5" fillId="0" borderId="0" xfId="0" applyFont="1" applyAlignment="1" applyProtection="1">
      <alignment vertical="top"/>
    </xf>
    <xf numFmtId="0" fontId="5" fillId="17" borderId="55" xfId="0" applyFont="1" applyFill="1" applyBorder="1" applyAlignment="1" applyProtection="1">
      <alignment vertical="center"/>
    </xf>
    <xf numFmtId="0" fontId="24" fillId="7" borderId="63" xfId="0" applyFont="1" applyFill="1" applyBorder="1" applyAlignment="1" applyProtection="1">
      <alignment vertical="center"/>
    </xf>
    <xf numFmtId="0" fontId="5" fillId="7" borderId="49" xfId="0" applyFont="1" applyFill="1" applyBorder="1" applyAlignment="1" applyProtection="1">
      <alignment vertical="center"/>
    </xf>
    <xf numFmtId="0" fontId="5" fillId="7" borderId="50" xfId="0" applyFont="1" applyFill="1" applyBorder="1" applyAlignment="1" applyProtection="1">
      <alignment vertical="center"/>
    </xf>
    <xf numFmtId="0" fontId="5" fillId="17" borderId="11" xfId="0" applyFont="1" applyFill="1" applyBorder="1" applyAlignment="1" applyProtection="1">
      <alignment vertical="center"/>
    </xf>
    <xf numFmtId="0" fontId="7" fillId="0" borderId="0" xfId="0" applyFont="1" applyBorder="1" applyAlignment="1" applyProtection="1">
      <alignment vertical="center"/>
    </xf>
    <xf numFmtId="1" fontId="7" fillId="0" borderId="0" xfId="0" applyNumberFormat="1" applyFont="1" applyFill="1" applyBorder="1" applyAlignment="1" applyProtection="1">
      <alignment vertical="center"/>
    </xf>
    <xf numFmtId="0" fontId="7" fillId="0" borderId="0" xfId="0" applyNumberFormat="1" applyFont="1" applyBorder="1" applyAlignment="1" applyProtection="1">
      <alignment vertical="center"/>
    </xf>
    <xf numFmtId="0" fontId="7" fillId="0" borderId="1" xfId="0" applyFont="1" applyBorder="1" applyAlignment="1" applyProtection="1">
      <alignment vertical="center"/>
    </xf>
    <xf numFmtId="1" fontId="7" fillId="0" borderId="1" xfId="0" applyNumberFormat="1" applyFont="1" applyFill="1" applyBorder="1" applyAlignment="1" applyProtection="1">
      <alignment vertical="center"/>
    </xf>
    <xf numFmtId="0" fontId="5" fillId="0" borderId="0" xfId="0" applyFont="1" applyAlignment="1" applyProtection="1">
      <alignment horizontal="right" vertical="center"/>
    </xf>
    <xf numFmtId="0" fontId="6" fillId="0" borderId="0" xfId="0" applyFont="1" applyFill="1" applyAlignment="1" applyProtection="1"/>
    <xf numFmtId="2" fontId="8" fillId="0" borderId="0" xfId="0" applyNumberFormat="1" applyFont="1" applyBorder="1" applyAlignment="1" applyProtection="1">
      <alignment horizontal="right" vertical="center"/>
    </xf>
    <xf numFmtId="0" fontId="8" fillId="0" borderId="0" xfId="0" applyFont="1" applyBorder="1" applyAlignment="1" applyProtection="1">
      <alignment vertical="top"/>
    </xf>
    <xf numFmtId="0" fontId="5" fillId="0" borderId="0" xfId="0" applyFont="1" applyFill="1" applyBorder="1" applyAlignment="1" applyProtection="1">
      <alignment horizontal="left" vertical="top"/>
    </xf>
    <xf numFmtId="0" fontId="5" fillId="0" borderId="1" xfId="0" applyFont="1" applyBorder="1" applyAlignment="1" applyProtection="1">
      <alignment vertical="top"/>
    </xf>
    <xf numFmtId="0" fontId="28" fillId="7" borderId="1" xfId="0" applyFont="1" applyFill="1" applyBorder="1" applyAlignment="1" applyProtection="1">
      <alignment horizontal="left" vertical="center"/>
    </xf>
    <xf numFmtId="0" fontId="28" fillId="7" borderId="10" xfId="0" applyFont="1" applyFill="1" applyBorder="1" applyAlignment="1" applyProtection="1">
      <alignment vertical="top"/>
    </xf>
    <xf numFmtId="0" fontId="28" fillId="0" borderId="0" xfId="0" applyFont="1" applyFill="1" applyBorder="1" applyAlignment="1" applyProtection="1">
      <alignment vertical="center"/>
    </xf>
    <xf numFmtId="0" fontId="8" fillId="3" borderId="19" xfId="0" applyFont="1" applyFill="1" applyBorder="1" applyAlignment="1" applyProtection="1"/>
    <xf numFmtId="0" fontId="8" fillId="3" borderId="17" xfId="0" applyFont="1" applyFill="1" applyBorder="1" applyAlignment="1" applyProtection="1"/>
    <xf numFmtId="0" fontId="8" fillId="3" borderId="18" xfId="0" applyFont="1" applyFill="1" applyBorder="1" applyAlignment="1" applyProtection="1"/>
    <xf numFmtId="0" fontId="5" fillId="0" borderId="0" xfId="0" applyFont="1" applyBorder="1" applyAlignment="1" applyProtection="1">
      <alignment horizontal="center"/>
    </xf>
    <xf numFmtId="0" fontId="33" fillId="0" borderId="0" xfId="0" applyFont="1" applyBorder="1" applyAlignment="1" applyProtection="1"/>
    <xf numFmtId="0" fontId="34" fillId="0" borderId="0" xfId="0" applyFont="1" applyBorder="1" applyAlignment="1" applyProtection="1"/>
    <xf numFmtId="0" fontId="34" fillId="0" borderId="0" xfId="0" applyFont="1" applyAlignment="1" applyProtection="1"/>
    <xf numFmtId="0" fontId="15" fillId="0" borderId="0" xfId="0" applyFont="1" applyFill="1" applyBorder="1" applyAlignment="1" applyProtection="1">
      <alignment vertical="center"/>
    </xf>
    <xf numFmtId="2" fontId="5" fillId="0" borderId="1" xfId="0" applyNumberFormat="1" applyFont="1" applyBorder="1" applyAlignment="1" applyProtection="1"/>
    <xf numFmtId="0" fontId="5" fillId="0" borderId="1" xfId="0" applyFont="1" applyBorder="1" applyAlignment="1" applyProtection="1">
      <alignment horizontal="center"/>
    </xf>
    <xf numFmtId="0" fontId="34" fillId="0" borderId="1" xfId="0" applyFont="1" applyBorder="1" applyAlignment="1" applyProtection="1"/>
    <xf numFmtId="0" fontId="5" fillId="3" borderId="17" xfId="0" applyFont="1" applyFill="1" applyBorder="1" applyAlignment="1" applyProtection="1"/>
    <xf numFmtId="0" fontId="5" fillId="3" borderId="18" xfId="0" applyFont="1" applyFill="1" applyBorder="1" applyAlignment="1" applyProtection="1"/>
    <xf numFmtId="0" fontId="5" fillId="0" borderId="0" xfId="0" applyFont="1" applyFill="1" applyAlignment="1" applyProtection="1"/>
    <xf numFmtId="0" fontId="5" fillId="0" borderId="67" xfId="0" applyFont="1" applyFill="1" applyBorder="1" applyAlignment="1" applyProtection="1"/>
    <xf numFmtId="165" fontId="5" fillId="0" borderId="0" xfId="0" applyNumberFormat="1" applyFont="1" applyBorder="1" applyAlignment="1" applyProtection="1"/>
    <xf numFmtId="2" fontId="5" fillId="0" borderId="6" xfId="0" applyNumberFormat="1" applyFont="1" applyBorder="1" applyAlignment="1" applyProtection="1"/>
    <xf numFmtId="2" fontId="5" fillId="0" borderId="0" xfId="0" applyNumberFormat="1" applyFont="1" applyBorder="1" applyAlignment="1" applyProtection="1">
      <alignment vertical="center"/>
    </xf>
    <xf numFmtId="2" fontId="5" fillId="0" borderId="0" xfId="0" applyNumberFormat="1" applyFont="1" applyFill="1" applyBorder="1" applyAlignment="1" applyProtection="1">
      <alignment vertical="center"/>
    </xf>
    <xf numFmtId="0" fontId="8" fillId="0" borderId="10" xfId="0" applyFont="1" applyBorder="1" applyAlignment="1" applyProtection="1">
      <alignment horizontal="center"/>
    </xf>
    <xf numFmtId="0" fontId="33" fillId="0" borderId="12" xfId="0" applyFont="1" applyBorder="1" applyAlignment="1" applyProtection="1"/>
    <xf numFmtId="0" fontId="33" fillId="0" borderId="1" xfId="0" applyFont="1" applyBorder="1" applyAlignment="1" applyProtection="1"/>
    <xf numFmtId="0" fontId="33" fillId="0" borderId="10" xfId="0" applyFont="1" applyBorder="1" applyAlignment="1" applyProtection="1"/>
    <xf numFmtId="0" fontId="8" fillId="0" borderId="8" xfId="0" applyFont="1" applyBorder="1" applyAlignment="1" applyProtection="1"/>
    <xf numFmtId="0" fontId="8" fillId="0" borderId="8" xfId="0" applyFont="1" applyFill="1" applyBorder="1" applyAlignment="1" applyProtection="1"/>
    <xf numFmtId="0" fontId="8" fillId="0" borderId="8" xfId="0" applyFont="1" applyBorder="1" applyAlignment="1" applyProtection="1">
      <alignment horizontal="center"/>
    </xf>
    <xf numFmtId="0" fontId="23" fillId="0" borderId="59" xfId="0" applyFont="1" applyBorder="1" applyAlignment="1" applyProtection="1">
      <alignment horizontal="left"/>
    </xf>
    <xf numFmtId="0" fontId="23" fillId="0" borderId="68" xfId="0" applyFont="1" applyBorder="1" applyAlignment="1" applyProtection="1">
      <alignment horizontal="left"/>
    </xf>
    <xf numFmtId="0" fontId="5" fillId="0" borderId="2" xfId="0" applyFont="1" applyBorder="1" applyAlignment="1" applyProtection="1"/>
    <xf numFmtId="0" fontId="34" fillId="0" borderId="60" xfId="0" applyFont="1" applyBorder="1" applyAlignment="1" applyProtection="1"/>
    <xf numFmtId="0" fontId="33" fillId="0" borderId="60" xfId="0" applyFont="1" applyBorder="1" applyAlignment="1" applyProtection="1"/>
    <xf numFmtId="0" fontId="33" fillId="0" borderId="58" xfId="0" applyFont="1" applyBorder="1" applyAlignment="1" applyProtection="1"/>
    <xf numFmtId="0" fontId="33" fillId="0" borderId="9" xfId="0" applyFont="1" applyBorder="1" applyAlignment="1" applyProtection="1"/>
    <xf numFmtId="0" fontId="5" fillId="0" borderId="58" xfId="0" applyFont="1" applyBorder="1" applyAlignment="1" applyProtection="1"/>
    <xf numFmtId="0" fontId="5" fillId="0" borderId="60" xfId="0" applyNumberFormat="1" applyFont="1" applyBorder="1" applyAlignment="1" applyProtection="1">
      <alignment horizontal="center"/>
    </xf>
    <xf numFmtId="0" fontId="5" fillId="0" borderId="58" xfId="0" applyFont="1" applyBorder="1" applyAlignment="1" applyProtection="1">
      <alignment horizontal="center"/>
    </xf>
    <xf numFmtId="0" fontId="5" fillId="0" borderId="0" xfId="0" applyFont="1" applyAlignment="1" applyProtection="1">
      <alignment horizontal="center"/>
    </xf>
    <xf numFmtId="0" fontId="5" fillId="0" borderId="9" xfId="0" applyFont="1" applyBorder="1" applyAlignment="1" applyProtection="1">
      <alignment horizontal="center"/>
    </xf>
    <xf numFmtId="0" fontId="5" fillId="0" borderId="58" xfId="0" applyFont="1" applyFill="1" applyBorder="1" applyAlignment="1" applyProtection="1"/>
    <xf numFmtId="0" fontId="34" fillId="0" borderId="58" xfId="0" applyFont="1" applyBorder="1" applyAlignment="1" applyProtection="1"/>
    <xf numFmtId="0" fontId="5" fillId="0" borderId="8" xfId="0" applyFont="1" applyBorder="1" applyAlignment="1" applyProtection="1"/>
    <xf numFmtId="0" fontId="5" fillId="0" borderId="60" xfId="0" applyFont="1" applyBorder="1" applyAlignment="1" applyProtection="1">
      <alignment horizontal="center"/>
    </xf>
    <xf numFmtId="0" fontId="5" fillId="0" borderId="60" xfId="0" applyFont="1" applyFill="1" applyBorder="1" applyAlignment="1" applyProtection="1">
      <alignment wrapText="1"/>
    </xf>
    <xf numFmtId="0" fontId="5" fillId="0" borderId="60" xfId="0" applyFont="1" applyFill="1" applyBorder="1" applyAlignment="1" applyProtection="1">
      <alignment horizontal="center"/>
    </xf>
    <xf numFmtId="0" fontId="5" fillId="0" borderId="10" xfId="0" applyFont="1" applyBorder="1" applyAlignment="1" applyProtection="1">
      <alignment horizontal="center"/>
    </xf>
    <xf numFmtId="0" fontId="34" fillId="0" borderId="12" xfId="0" applyFont="1" applyBorder="1" applyAlignment="1" applyProtection="1"/>
    <xf numFmtId="0" fontId="5" fillId="0" borderId="8" xfId="0" applyFont="1" applyBorder="1" applyAlignment="1" applyProtection="1">
      <alignment horizontal="center"/>
    </xf>
    <xf numFmtId="0" fontId="5" fillId="0" borderId="12" xfId="0" applyFont="1" applyBorder="1" applyAlignment="1" applyProtection="1">
      <alignment horizontal="center"/>
    </xf>
    <xf numFmtId="0" fontId="5" fillId="0" borderId="12" xfId="0" applyFont="1" applyFill="1" applyBorder="1" applyAlignment="1" applyProtection="1">
      <alignment horizontal="center"/>
    </xf>
    <xf numFmtId="0" fontId="25" fillId="0" borderId="29" xfId="0" applyFont="1" applyBorder="1" applyAlignment="1" applyProtection="1"/>
    <xf numFmtId="0" fontId="25" fillId="0" borderId="30" xfId="0" applyFont="1" applyBorder="1" applyAlignment="1" applyProtection="1"/>
    <xf numFmtId="0" fontId="9" fillId="0" borderId="30" xfId="0" applyFont="1" applyBorder="1" applyAlignment="1" applyProtection="1"/>
    <xf numFmtId="0" fontId="25" fillId="0" borderId="28" xfId="0" applyFont="1" applyBorder="1" applyAlignment="1" applyProtection="1"/>
    <xf numFmtId="0" fontId="5" fillId="0" borderId="58" xfId="0" applyFont="1" applyFill="1" applyBorder="1" applyAlignment="1" applyProtection="1">
      <alignment wrapText="1"/>
    </xf>
    <xf numFmtId="0" fontId="5" fillId="0" borderId="0" xfId="0" applyFont="1" applyBorder="1" applyAlignment="1" applyProtection="1">
      <alignment horizontal="center" wrapText="1"/>
    </xf>
    <xf numFmtId="0" fontId="5" fillId="0" borderId="6" xfId="0" applyFont="1" applyBorder="1" applyAlignment="1" applyProtection="1">
      <alignment wrapText="1"/>
    </xf>
    <xf numFmtId="0" fontId="23" fillId="0" borderId="0" xfId="0" applyFont="1" applyBorder="1" applyAlignment="1" applyProtection="1"/>
    <xf numFmtId="49" fontId="23" fillId="0" borderId="6" xfId="0" applyNumberFormat="1" applyFont="1" applyBorder="1" applyAlignment="1" applyProtection="1"/>
    <xf numFmtId="49" fontId="23" fillId="0" borderId="6" xfId="0" applyNumberFormat="1" applyFont="1" applyFill="1" applyBorder="1" applyAlignment="1" applyProtection="1"/>
    <xf numFmtId="0" fontId="23" fillId="0" borderId="0" xfId="0" applyFont="1" applyAlignment="1" applyProtection="1"/>
    <xf numFmtId="0" fontId="23" fillId="0" borderId="0" xfId="0" applyFont="1" applyFill="1" applyAlignment="1" applyProtection="1"/>
    <xf numFmtId="0" fontId="8" fillId="0" borderId="0" xfId="0" applyFont="1" applyFill="1" applyAlignment="1" applyProtection="1"/>
    <xf numFmtId="0" fontId="5" fillId="0" borderId="0" xfId="0" applyFont="1" applyBorder="1" applyAlignment="1" applyProtection="1">
      <alignment wrapText="1"/>
    </xf>
    <xf numFmtId="0" fontId="8" fillId="0" borderId="6" xfId="0" applyFont="1" applyFill="1" applyBorder="1" applyAlignment="1" applyProtection="1">
      <alignment horizontal="left"/>
    </xf>
    <xf numFmtId="0" fontId="18" fillId="0" borderId="1" xfId="0" applyFont="1" applyBorder="1" applyAlignment="1" applyProtection="1"/>
    <xf numFmtId="166" fontId="5" fillId="0" borderId="0" xfId="0" applyNumberFormat="1" applyFont="1" applyBorder="1" applyAlignment="1" applyProtection="1"/>
    <xf numFmtId="0" fontId="2" fillId="0" borderId="0" xfId="0" applyFont="1" applyFill="1" applyBorder="1" applyProtection="1"/>
    <xf numFmtId="2" fontId="7" fillId="0" borderId="0" xfId="0" applyNumberFormat="1" applyFont="1" applyBorder="1" applyAlignment="1" applyProtection="1"/>
    <xf numFmtId="0" fontId="29" fillId="7" borderId="12" xfId="0" applyFont="1" applyFill="1" applyBorder="1" applyAlignment="1" applyProtection="1">
      <alignment vertical="center"/>
    </xf>
    <xf numFmtId="0" fontId="5" fillId="7" borderId="53" xfId="0" applyFont="1" applyFill="1" applyBorder="1" applyAlignment="1">
      <alignment vertical="center"/>
    </xf>
    <xf numFmtId="49" fontId="5" fillId="0" borderId="0" xfId="0" applyNumberFormat="1" applyFont="1" applyFill="1" applyBorder="1" applyAlignment="1" applyProtection="1">
      <alignment vertical="center"/>
    </xf>
    <xf numFmtId="2" fontId="7" fillId="0" borderId="0" xfId="0" applyNumberFormat="1" applyFont="1" applyFill="1" applyBorder="1" applyAlignment="1" applyProtection="1">
      <alignment horizontal="right"/>
    </xf>
    <xf numFmtId="49" fontId="8" fillId="0" borderId="1" xfId="0" applyNumberFormat="1" applyFont="1" applyFill="1" applyBorder="1" applyAlignment="1" applyProtection="1">
      <alignment horizontal="center"/>
    </xf>
    <xf numFmtId="0" fontId="35" fillId="0" borderId="60" xfId="0" applyFont="1" applyBorder="1" applyAlignment="1">
      <alignment horizontal="right" vertical="center"/>
    </xf>
    <xf numFmtId="0" fontId="35" fillId="0" borderId="12" xfId="0" applyFont="1" applyBorder="1" applyAlignment="1">
      <alignment horizontal="right" vertical="center"/>
    </xf>
    <xf numFmtId="0" fontId="35" fillId="0" borderId="1" xfId="0" applyFont="1" applyBorder="1" applyAlignment="1">
      <alignment horizontal="right" vertical="center"/>
    </xf>
    <xf numFmtId="1" fontId="43" fillId="0" borderId="53" xfId="0" applyNumberFormat="1" applyFont="1" applyBorder="1" applyAlignment="1">
      <alignment horizontal="right" vertical="center"/>
    </xf>
    <xf numFmtId="1" fontId="43" fillId="0" borderId="64" xfId="0" applyNumberFormat="1" applyFont="1" applyBorder="1" applyAlignment="1">
      <alignment horizontal="right" vertical="center"/>
    </xf>
    <xf numFmtId="1" fontId="43" fillId="0" borderId="60" xfId="0" applyNumberFormat="1" applyFont="1" applyBorder="1" applyAlignment="1">
      <alignment horizontal="right" vertical="center"/>
    </xf>
    <xf numFmtId="1" fontId="43" fillId="0" borderId="0" xfId="0" applyNumberFormat="1" applyFont="1" applyBorder="1" applyAlignment="1">
      <alignment horizontal="right" vertical="center"/>
    </xf>
    <xf numFmtId="1" fontId="43" fillId="0" borderId="6" xfId="0" applyNumberFormat="1" applyFont="1" applyBorder="1" applyAlignment="1">
      <alignment horizontal="right" vertical="center"/>
    </xf>
    <xf numFmtId="1" fontId="43" fillId="0" borderId="12" xfId="0" applyNumberFormat="1" applyFont="1" applyBorder="1" applyAlignment="1">
      <alignment horizontal="right" vertical="center"/>
    </xf>
    <xf numFmtId="1" fontId="43" fillId="0" borderId="1" xfId="0" applyNumberFormat="1" applyFont="1" applyBorder="1" applyAlignment="1">
      <alignment horizontal="right" vertical="center"/>
    </xf>
    <xf numFmtId="1" fontId="43" fillId="0" borderId="10" xfId="0" applyNumberFormat="1" applyFont="1" applyBorder="1" applyAlignment="1">
      <alignment horizontal="right" vertical="center"/>
    </xf>
    <xf numFmtId="0" fontId="5" fillId="0" borderId="5" xfId="0" applyFont="1" applyFill="1" applyBorder="1" applyAlignment="1" applyProtection="1"/>
    <xf numFmtId="0" fontId="7" fillId="0" borderId="0" xfId="0" applyFont="1" applyFill="1" applyBorder="1" applyAlignment="1" applyProtection="1">
      <alignment horizontal="center"/>
    </xf>
    <xf numFmtId="0" fontId="8" fillId="0" borderId="5" xfId="0" applyFont="1" applyFill="1" applyBorder="1" applyAlignment="1" applyProtection="1"/>
    <xf numFmtId="2" fontId="18" fillId="0" borderId="0" xfId="0" applyNumberFormat="1" applyFont="1" applyFill="1" applyBorder="1" applyAlignment="1" applyProtection="1">
      <alignment horizontal="right"/>
    </xf>
    <xf numFmtId="0" fontId="11" fillId="0" borderId="5" xfId="0" applyFont="1" applyFill="1" applyBorder="1" applyAlignment="1" applyProtection="1"/>
    <xf numFmtId="0" fontId="8" fillId="0" borderId="53" xfId="0" applyFont="1" applyFill="1" applyBorder="1" applyAlignment="1" applyProtection="1"/>
    <xf numFmtId="2" fontId="18" fillId="0" borderId="64" xfId="0" applyNumberFormat="1" applyFont="1" applyFill="1" applyBorder="1" applyAlignment="1" applyProtection="1">
      <alignment horizontal="right"/>
    </xf>
    <xf numFmtId="0" fontId="5" fillId="0" borderId="12" xfId="0" applyFont="1" applyFill="1" applyBorder="1" applyAlignment="1" applyProtection="1"/>
    <xf numFmtId="0" fontId="5" fillId="0" borderId="1" xfId="0" applyFont="1" applyFill="1" applyBorder="1" applyAlignment="1" applyProtection="1">
      <alignment horizontal="right"/>
    </xf>
    <xf numFmtId="0" fontId="7" fillId="0" borderId="1" xfId="0" applyFont="1" applyFill="1" applyBorder="1" applyAlignment="1" applyProtection="1">
      <alignment horizontal="right"/>
    </xf>
    <xf numFmtId="0" fontId="8" fillId="0" borderId="64" xfId="0" applyFont="1" applyFill="1" applyBorder="1" applyAlignment="1" applyProtection="1"/>
    <xf numFmtId="2" fontId="9" fillId="0" borderId="64" xfId="0" applyNumberFormat="1" applyFont="1" applyFill="1" applyBorder="1" applyAlignment="1" applyProtection="1">
      <alignment horizontal="right"/>
    </xf>
    <xf numFmtId="0" fontId="9" fillId="0" borderId="1" xfId="0" applyFont="1" applyFill="1" applyBorder="1" applyAlignment="1" applyProtection="1">
      <alignment horizontal="right"/>
    </xf>
    <xf numFmtId="0" fontId="29" fillId="7" borderId="64" xfId="0" applyFont="1" applyFill="1" applyBorder="1" applyAlignment="1" applyProtection="1">
      <alignment horizontal="left" vertical="center"/>
    </xf>
    <xf numFmtId="0" fontId="29" fillId="7" borderId="54" xfId="0" applyFont="1" applyFill="1" applyBorder="1" applyAlignment="1" applyProtection="1">
      <alignment horizontal="left" vertical="center"/>
    </xf>
    <xf numFmtId="0" fontId="29" fillId="7" borderId="1" xfId="0" applyFont="1" applyFill="1" applyBorder="1" applyAlignment="1" applyProtection="1">
      <alignment horizontal="left" vertical="center"/>
    </xf>
    <xf numFmtId="0" fontId="29" fillId="7" borderId="10" xfId="0" applyFont="1" applyFill="1" applyBorder="1" applyAlignment="1" applyProtection="1">
      <alignment horizontal="left" vertical="center"/>
    </xf>
    <xf numFmtId="0" fontId="40" fillId="0" borderId="1" xfId="0" applyFont="1" applyBorder="1" applyAlignment="1">
      <alignment horizontal="center" vertical="center"/>
    </xf>
    <xf numFmtId="0" fontId="36" fillId="7" borderId="71" xfId="0" applyFont="1" applyFill="1" applyBorder="1" applyAlignment="1">
      <alignment horizontal="left" vertical="center"/>
    </xf>
    <xf numFmtId="0" fontId="36" fillId="7" borderId="63" xfId="0" applyFont="1" applyFill="1" applyBorder="1" applyAlignment="1">
      <alignment horizontal="left" vertical="center"/>
    </xf>
    <xf numFmtId="0" fontId="36" fillId="7" borderId="57" xfId="0" applyFont="1" applyFill="1" applyBorder="1" applyAlignment="1">
      <alignment horizontal="left" vertical="center"/>
    </xf>
    <xf numFmtId="0" fontId="36" fillId="7" borderId="62" xfId="0" applyFont="1" applyFill="1" applyBorder="1" applyAlignment="1">
      <alignment horizontal="left" vertical="center"/>
    </xf>
    <xf numFmtId="0" fontId="36" fillId="7" borderId="22" xfId="0" applyFont="1" applyFill="1" applyBorder="1" applyAlignment="1">
      <alignment vertical="center"/>
    </xf>
    <xf numFmtId="0" fontId="35" fillId="7" borderId="14" xfId="0" applyFont="1" applyFill="1" applyBorder="1" applyAlignment="1">
      <alignment horizontal="center" vertical="center"/>
    </xf>
    <xf numFmtId="0" fontId="35" fillId="7" borderId="67" xfId="0" applyFont="1" applyFill="1" applyBorder="1" applyAlignment="1">
      <alignment vertical="center"/>
    </xf>
    <xf numFmtId="0" fontId="36" fillId="0" borderId="70" xfId="0" applyFont="1" applyFill="1" applyBorder="1" applyAlignment="1">
      <alignment vertical="center"/>
    </xf>
    <xf numFmtId="0" fontId="40" fillId="0" borderId="3" xfId="0" applyFont="1" applyFill="1" applyBorder="1" applyAlignment="1">
      <alignment horizontal="center" vertical="center"/>
    </xf>
    <xf numFmtId="0" fontId="35" fillId="0" borderId="4" xfId="0" applyFont="1" applyFill="1" applyBorder="1" applyAlignment="1">
      <alignment vertical="center"/>
    </xf>
    <xf numFmtId="0" fontId="35" fillId="0" borderId="0" xfId="0" applyFont="1" applyBorder="1" applyAlignment="1" applyProtection="1">
      <alignment vertical="center"/>
    </xf>
    <xf numFmtId="166" fontId="9" fillId="0" borderId="0" xfId="0" applyNumberFormat="1" applyFont="1" applyBorder="1" applyAlignment="1" applyProtection="1"/>
    <xf numFmtId="0" fontId="9" fillId="0" borderId="0" xfId="0" applyFont="1" applyBorder="1" applyAlignment="1" applyProtection="1">
      <alignment vertical="center"/>
    </xf>
    <xf numFmtId="0" fontId="24" fillId="3" borderId="57" xfId="0" applyFont="1" applyFill="1" applyBorder="1" applyAlignment="1" applyProtection="1">
      <alignment vertical="center"/>
    </xf>
    <xf numFmtId="0" fontId="24" fillId="3" borderId="63" xfId="0" applyFont="1" applyFill="1" applyBorder="1" applyAlignment="1" applyProtection="1">
      <alignment vertical="center"/>
    </xf>
    <xf numFmtId="1" fontId="24" fillId="3" borderId="63" xfId="0" applyNumberFormat="1" applyFont="1" applyFill="1" applyBorder="1" applyAlignment="1" applyProtection="1">
      <alignment vertical="center"/>
    </xf>
    <xf numFmtId="0" fontId="24" fillId="3" borderId="62" xfId="0" applyFont="1" applyFill="1" applyBorder="1" applyAlignment="1" applyProtection="1">
      <alignment vertical="center"/>
    </xf>
    <xf numFmtId="0" fontId="5" fillId="0" borderId="6" xfId="0" applyFont="1" applyBorder="1" applyAlignment="1" applyProtection="1">
      <alignment horizontal="left"/>
    </xf>
    <xf numFmtId="165" fontId="38" fillId="0" borderId="35" xfId="0" applyNumberFormat="1" applyFont="1" applyFill="1" applyBorder="1" applyAlignment="1">
      <alignment horizontal="center" vertical="center"/>
    </xf>
    <xf numFmtId="0" fontId="36" fillId="7" borderId="57" xfId="0" applyFont="1" applyFill="1" applyBorder="1" applyAlignment="1"/>
    <xf numFmtId="0" fontId="36" fillId="7" borderId="63" xfId="0" applyFont="1" applyFill="1" applyBorder="1" applyAlignment="1">
      <alignment horizontal="right"/>
    </xf>
    <xf numFmtId="0" fontId="36" fillId="7" borderId="63" xfId="0" applyFont="1" applyFill="1" applyBorder="1" applyAlignment="1"/>
    <xf numFmtId="0" fontId="35" fillId="0" borderId="64" xfId="0" applyFont="1" applyBorder="1" applyAlignment="1">
      <alignment horizontal="left"/>
    </xf>
    <xf numFmtId="0" fontId="9" fillId="7" borderId="63" xfId="0" applyFont="1" applyFill="1" applyBorder="1" applyAlignment="1" applyProtection="1"/>
    <xf numFmtId="0" fontId="9" fillId="7" borderId="62" xfId="0" applyFont="1" applyFill="1" applyBorder="1" applyAlignment="1" applyProtection="1"/>
    <xf numFmtId="0" fontId="25" fillId="7" borderId="57" xfId="0" applyFont="1" applyFill="1" applyBorder="1" applyAlignment="1" applyProtection="1"/>
    <xf numFmtId="0" fontId="43" fillId="0" borderId="53" xfId="0" applyFont="1" applyFill="1" applyBorder="1" applyAlignment="1"/>
    <xf numFmtId="0" fontId="38" fillId="0" borderId="64" xfId="0" applyFont="1" applyFill="1" applyBorder="1" applyAlignment="1">
      <alignment horizontal="right"/>
    </xf>
    <xf numFmtId="0" fontId="43" fillId="0" borderId="54" xfId="0" applyFont="1" applyFill="1" applyBorder="1" applyAlignment="1"/>
    <xf numFmtId="0" fontId="43" fillId="0" borderId="64" xfId="0" applyFont="1" applyFill="1" applyBorder="1" applyAlignment="1"/>
    <xf numFmtId="0" fontId="35" fillId="0" borderId="60" xfId="0" applyFont="1" applyFill="1" applyBorder="1" applyAlignment="1">
      <alignment horizontal="left"/>
    </xf>
    <xf numFmtId="2" fontId="35" fillId="0" borderId="0" xfId="0" applyNumberFormat="1" applyFont="1" applyBorder="1" applyAlignment="1">
      <alignment horizontal="right"/>
    </xf>
    <xf numFmtId="165" fontId="38" fillId="0" borderId="0" xfId="0" applyNumberFormat="1" applyFont="1" applyFill="1" applyBorder="1" applyAlignment="1">
      <alignment horizontal="right"/>
    </xf>
    <xf numFmtId="1" fontId="38" fillId="0" borderId="0" xfId="0" applyNumberFormat="1" applyFont="1" applyFill="1" applyBorder="1" applyAlignment="1">
      <alignment horizontal="right"/>
    </xf>
    <xf numFmtId="0" fontId="38" fillId="0" borderId="64" xfId="0" applyFont="1" applyBorder="1" applyAlignment="1">
      <alignment horizontal="right"/>
    </xf>
    <xf numFmtId="0" fontId="35" fillId="3" borderId="17" xfId="0" applyFont="1" applyFill="1" applyBorder="1" applyAlignment="1">
      <alignment horizontal="right"/>
    </xf>
    <xf numFmtId="0" fontId="43" fillId="0" borderId="6" xfId="0" applyFont="1" applyFill="1" applyBorder="1" applyAlignment="1"/>
    <xf numFmtId="0" fontId="35" fillId="0" borderId="0" xfId="0" applyNumberFormat="1" applyFont="1"/>
    <xf numFmtId="0" fontId="36" fillId="0" borderId="0" xfId="0" applyNumberFormat="1" applyFont="1" applyAlignment="1">
      <alignment vertical="center"/>
    </xf>
    <xf numFmtId="0" fontId="35" fillId="0" borderId="0" xfId="0" applyNumberFormat="1" applyFont="1" applyAlignment="1">
      <alignment vertical="center"/>
    </xf>
    <xf numFmtId="0" fontId="35" fillId="0" borderId="12" xfId="0" applyNumberFormat="1" applyFont="1" applyFill="1" applyBorder="1"/>
    <xf numFmtId="0" fontId="35" fillId="0" borderId="6" xfId="0" applyNumberFormat="1" applyFont="1" applyBorder="1"/>
    <xf numFmtId="0" fontId="35" fillId="0" borderId="12" xfId="0" applyNumberFormat="1" applyFont="1" applyBorder="1"/>
    <xf numFmtId="0" fontId="35" fillId="0" borderId="10" xfId="0" applyNumberFormat="1" applyFont="1" applyBorder="1"/>
    <xf numFmtId="0" fontId="35" fillId="0" borderId="60" xfId="0" applyNumberFormat="1" applyFont="1" applyFill="1" applyBorder="1"/>
    <xf numFmtId="0" fontId="35" fillId="0" borderId="60" xfId="0" applyNumberFormat="1" applyFont="1" applyBorder="1"/>
    <xf numFmtId="0" fontId="38" fillId="0" borderId="6" xfId="0" applyNumberFormat="1" applyFont="1" applyFill="1" applyBorder="1" applyAlignment="1">
      <alignment horizontal="left"/>
    </xf>
    <xf numFmtId="0" fontId="35" fillId="0" borderId="60" xfId="0" applyNumberFormat="1" applyFont="1" applyBorder="1" applyAlignment="1">
      <alignment vertical="center"/>
    </xf>
    <xf numFmtId="0" fontId="35" fillId="0" borderId="0" xfId="0" applyNumberFormat="1" applyFont="1" applyAlignment="1">
      <alignment horizontal="right"/>
    </xf>
    <xf numFmtId="0" fontId="35" fillId="5" borderId="17" xfId="0" applyFont="1" applyFill="1" applyBorder="1" applyAlignment="1">
      <alignment horizontal="right" vertical="center"/>
    </xf>
    <xf numFmtId="2" fontId="35" fillId="0" borderId="60" xfId="0" applyNumberFormat="1" applyFont="1" applyBorder="1" applyAlignment="1">
      <alignment horizontal="left" vertical="center"/>
    </xf>
    <xf numFmtId="0" fontId="35" fillId="0" borderId="0" xfId="0" applyNumberFormat="1" applyFont="1" applyBorder="1"/>
    <xf numFmtId="0" fontId="45" fillId="3" borderId="17" xfId="0" applyFont="1" applyFill="1" applyBorder="1" applyAlignment="1">
      <alignment horizontal="right"/>
    </xf>
    <xf numFmtId="0" fontId="38" fillId="0" borderId="0" xfId="0" applyNumberFormat="1" applyFont="1" applyBorder="1" applyAlignment="1">
      <alignment horizontal="right" vertical="center"/>
    </xf>
    <xf numFmtId="1" fontId="38" fillId="0" borderId="0" xfId="0" applyNumberFormat="1" applyFont="1" applyBorder="1" applyAlignment="1">
      <alignment horizontal="right" vertical="center"/>
    </xf>
    <xf numFmtId="0" fontId="38" fillId="0" borderId="0" xfId="0" applyNumberFormat="1" applyFont="1" applyBorder="1" applyAlignment="1">
      <alignment horizontal="right"/>
    </xf>
    <xf numFmtId="0" fontId="38" fillId="0" borderId="0" xfId="0" applyFont="1" applyBorder="1" applyAlignment="1">
      <alignment horizontal="right" vertical="center"/>
    </xf>
    <xf numFmtId="0" fontId="35" fillId="0" borderId="0" xfId="0" applyNumberFormat="1" applyFont="1" applyBorder="1" applyAlignment="1">
      <alignment horizontal="right"/>
    </xf>
    <xf numFmtId="2" fontId="38" fillId="0" borderId="0" xfId="0" applyNumberFormat="1" applyFont="1" applyBorder="1" applyAlignment="1">
      <alignment horizontal="right" vertical="center"/>
    </xf>
    <xf numFmtId="0" fontId="38" fillId="0" borderId="0" xfId="0" applyNumberFormat="1" applyFont="1" applyFill="1" applyBorder="1" applyAlignment="1">
      <alignment horizontal="right"/>
    </xf>
    <xf numFmtId="0" fontId="38" fillId="0" borderId="1" xfId="0" applyNumberFormat="1" applyFont="1" applyFill="1" applyBorder="1" applyAlignment="1">
      <alignment horizontal="right"/>
    </xf>
    <xf numFmtId="0" fontId="38" fillId="0" borderId="1" xfId="0" applyNumberFormat="1" applyFont="1" applyBorder="1" applyAlignment="1">
      <alignment horizontal="right"/>
    </xf>
    <xf numFmtId="0" fontId="35" fillId="0" borderId="0" xfId="0" applyNumberFormat="1" applyFont="1" applyAlignment="1">
      <alignment horizontal="left"/>
    </xf>
    <xf numFmtId="0" fontId="45" fillId="3" borderId="18" xfId="0" applyFont="1" applyFill="1" applyBorder="1" applyAlignment="1">
      <alignment horizontal="left"/>
    </xf>
    <xf numFmtId="0" fontId="35" fillId="0" borderId="6" xfId="0" applyNumberFormat="1" applyFont="1" applyBorder="1" applyAlignment="1">
      <alignment horizontal="left"/>
    </xf>
    <xf numFmtId="0" fontId="35" fillId="0" borderId="6" xfId="0" applyNumberFormat="1" applyFont="1" applyFill="1" applyBorder="1" applyAlignment="1">
      <alignment horizontal="left"/>
    </xf>
    <xf numFmtId="0" fontId="36" fillId="7" borderId="62" xfId="0" applyFont="1" applyFill="1" applyBorder="1" applyAlignment="1">
      <alignment horizontal="left"/>
    </xf>
    <xf numFmtId="0" fontId="35" fillId="0" borderId="6" xfId="0" applyFont="1" applyFill="1" applyBorder="1" applyAlignment="1" applyProtection="1">
      <alignment horizontal="left"/>
    </xf>
    <xf numFmtId="0" fontId="35" fillId="0" borderId="10" xfId="0" applyFont="1" applyFill="1" applyBorder="1" applyAlignment="1" applyProtection="1">
      <alignment horizontal="left"/>
    </xf>
    <xf numFmtId="0" fontId="35" fillId="0" borderId="10" xfId="0" applyNumberFormat="1" applyFont="1" applyFill="1" applyBorder="1" applyAlignment="1">
      <alignment horizontal="left"/>
    </xf>
    <xf numFmtId="0" fontId="35" fillId="0" borderId="10" xfId="0" applyNumberFormat="1" applyFont="1" applyBorder="1" applyAlignment="1">
      <alignment horizontal="left"/>
    </xf>
    <xf numFmtId="0" fontId="38" fillId="0" borderId="0" xfId="0" applyFont="1" applyFill="1" applyBorder="1" applyAlignment="1">
      <alignment horizontal="left"/>
    </xf>
    <xf numFmtId="0" fontId="35" fillId="0" borderId="0" xfId="0" applyNumberFormat="1" applyFont="1" applyFill="1" applyBorder="1"/>
    <xf numFmtId="0" fontId="35" fillId="0" borderId="1" xfId="0" applyNumberFormat="1" applyFont="1" applyBorder="1"/>
    <xf numFmtId="0" fontId="37" fillId="3" borderId="18" xfId="0" applyFont="1" applyFill="1" applyBorder="1" applyAlignment="1">
      <alignment horizontal="left"/>
    </xf>
    <xf numFmtId="0" fontId="35" fillId="0" borderId="58" xfId="0" applyFont="1" applyBorder="1"/>
    <xf numFmtId="0" fontId="35" fillId="0" borderId="8" xfId="0" applyFont="1" applyBorder="1"/>
    <xf numFmtId="1" fontId="38" fillId="0" borderId="0" xfId="0" applyNumberFormat="1" applyFont="1" applyBorder="1"/>
    <xf numFmtId="166" fontId="38" fillId="0" borderId="0" xfId="0" applyNumberFormat="1" applyFont="1" applyBorder="1"/>
    <xf numFmtId="2" fontId="38" fillId="0" borderId="0" xfId="0" applyNumberFormat="1" applyFont="1" applyBorder="1"/>
    <xf numFmtId="0" fontId="35" fillId="0" borderId="60" xfId="0" applyFont="1" applyBorder="1" applyAlignment="1">
      <alignment horizontal="right"/>
    </xf>
    <xf numFmtId="0" fontId="38" fillId="0" borderId="6" xfId="0" applyFont="1" applyBorder="1"/>
    <xf numFmtId="0" fontId="35" fillId="0" borderId="12" xfId="0" applyFont="1" applyBorder="1" applyAlignment="1">
      <alignment horizontal="right"/>
    </xf>
    <xf numFmtId="1" fontId="38" fillId="0" borderId="0" xfId="0" applyNumberFormat="1" applyFont="1" applyFill="1" applyBorder="1" applyAlignment="1">
      <alignment vertical="center"/>
    </xf>
    <xf numFmtId="0" fontId="35" fillId="0" borderId="8" xfId="0" applyFont="1" applyBorder="1" applyAlignment="1">
      <alignment vertical="center"/>
    </xf>
    <xf numFmtId="0" fontId="38" fillId="0" borderId="1" xfId="0" applyFont="1" applyBorder="1"/>
    <xf numFmtId="0" fontId="35" fillId="0" borderId="1" xfId="0" applyFont="1" applyFill="1" applyBorder="1"/>
    <xf numFmtId="0" fontId="46" fillId="4" borderId="19" xfId="0" applyFont="1" applyFill="1" applyBorder="1"/>
    <xf numFmtId="0" fontId="36" fillId="0" borderId="60" xfId="0" applyFont="1" applyBorder="1"/>
    <xf numFmtId="0" fontId="40" fillId="7" borderId="63" xfId="0" applyFont="1" applyFill="1" applyBorder="1" applyAlignment="1">
      <alignment horizontal="right"/>
    </xf>
    <xf numFmtId="2" fontId="38" fillId="0" borderId="0" xfId="0" applyNumberFormat="1" applyFont="1" applyBorder="1" applyAlignment="1">
      <alignment horizontal="right"/>
    </xf>
    <xf numFmtId="0" fontId="35" fillId="0" borderId="60" xfId="0" applyFont="1" applyFill="1" applyBorder="1"/>
    <xf numFmtId="0" fontId="45" fillId="3" borderId="18" xfId="0" applyFont="1" applyFill="1" applyBorder="1" applyAlignment="1">
      <alignment horizontal="right"/>
    </xf>
    <xf numFmtId="2" fontId="38" fillId="0" borderId="1" xfId="0" applyNumberFormat="1" applyFont="1" applyBorder="1"/>
    <xf numFmtId="166" fontId="38" fillId="0" borderId="0" xfId="0" applyNumberFormat="1" applyFont="1" applyBorder="1" applyAlignment="1">
      <alignment horizontal="right"/>
    </xf>
    <xf numFmtId="0" fontId="35" fillId="0" borderId="0" xfId="0" quotePrefix="1" applyFont="1"/>
    <xf numFmtId="0" fontId="36" fillId="0" borderId="0" xfId="0" applyFont="1" applyBorder="1" applyAlignment="1">
      <alignment horizontal="right" vertical="center"/>
    </xf>
    <xf numFmtId="2" fontId="38" fillId="0" borderId="60" xfId="0" applyNumberFormat="1" applyFont="1" applyBorder="1" applyAlignment="1">
      <alignment horizontal="right" vertical="center"/>
    </xf>
    <xf numFmtId="1" fontId="38" fillId="0" borderId="60" xfId="0" applyNumberFormat="1" applyFont="1" applyBorder="1" applyAlignment="1">
      <alignment horizontal="right" vertical="center"/>
    </xf>
    <xf numFmtId="0" fontId="35" fillId="0" borderId="58" xfId="0" applyFont="1" applyBorder="1" applyAlignment="1">
      <alignment vertical="center"/>
    </xf>
    <xf numFmtId="0" fontId="43" fillId="0" borderId="60" xfId="0" applyFont="1" applyBorder="1" applyAlignment="1">
      <alignment horizontal="left"/>
    </xf>
    <xf numFmtId="0" fontId="35" fillId="0" borderId="52" xfId="0" applyFont="1" applyBorder="1"/>
    <xf numFmtId="0" fontId="35" fillId="0" borderId="67" xfId="0" applyFont="1" applyBorder="1" applyAlignment="1">
      <alignment vertical="center"/>
    </xf>
    <xf numFmtId="0" fontId="36" fillId="0" borderId="0" xfId="0" applyFont="1" applyBorder="1" applyAlignment="1">
      <alignment horizontal="left" vertical="center"/>
    </xf>
    <xf numFmtId="0" fontId="40" fillId="3" borderId="17" xfId="0" applyFont="1" applyFill="1" applyBorder="1" applyAlignment="1">
      <alignment horizontal="left"/>
    </xf>
    <xf numFmtId="166" fontId="38" fillId="0" borderId="60" xfId="0" applyNumberFormat="1" applyFont="1" applyBorder="1" applyAlignment="1">
      <alignment horizontal="right"/>
    </xf>
    <xf numFmtId="0" fontId="35" fillId="0" borderId="0" xfId="0" quotePrefix="1" applyFont="1" applyBorder="1"/>
    <xf numFmtId="0" fontId="38" fillId="0" borderId="60" xfId="0" applyFont="1" applyBorder="1" applyAlignment="1">
      <alignment horizontal="right"/>
    </xf>
    <xf numFmtId="0" fontId="36" fillId="0" borderId="53" xfId="0" applyFont="1" applyBorder="1" applyAlignment="1">
      <alignment horizontal="right" vertical="center"/>
    </xf>
    <xf numFmtId="0" fontId="38" fillId="0" borderId="53" xfId="0" applyFont="1" applyBorder="1" applyAlignment="1">
      <alignment horizontal="right"/>
    </xf>
    <xf numFmtId="1" fontId="40" fillId="0" borderId="0" xfId="0" applyNumberFormat="1" applyFont="1" applyBorder="1" applyAlignment="1">
      <alignment horizontal="right" vertical="center"/>
    </xf>
    <xf numFmtId="0" fontId="38" fillId="0" borderId="60" xfId="0" applyFont="1" applyBorder="1" applyAlignment="1">
      <alignment horizontal="right" vertical="center"/>
    </xf>
    <xf numFmtId="2" fontId="38" fillId="0" borderId="60" xfId="0" applyNumberFormat="1" applyFont="1" applyBorder="1" applyAlignment="1">
      <alignment horizontal="right"/>
    </xf>
    <xf numFmtId="0" fontId="35" fillId="5" borderId="17" xfId="0" applyFont="1" applyFill="1" applyBorder="1" applyAlignment="1">
      <alignment horizontal="left" vertical="center"/>
    </xf>
    <xf numFmtId="0" fontId="35" fillId="0" borderId="6" xfId="0" applyFont="1" applyFill="1" applyBorder="1" applyAlignment="1">
      <alignment horizontal="left" vertical="center"/>
    </xf>
    <xf numFmtId="0" fontId="36" fillId="0" borderId="12" xfId="0" applyFont="1" applyBorder="1" applyAlignment="1">
      <alignment horizontal="right"/>
    </xf>
    <xf numFmtId="0" fontId="36" fillId="0" borderId="10" xfId="0" quotePrefix="1" applyFont="1" applyBorder="1" applyAlignment="1">
      <alignment horizontal="left"/>
    </xf>
    <xf numFmtId="0" fontId="36" fillId="0" borderId="1" xfId="0" applyFont="1" applyBorder="1" applyAlignment="1">
      <alignment horizontal="right"/>
    </xf>
    <xf numFmtId="0" fontId="35" fillId="5" borderId="18" xfId="0" applyFont="1" applyFill="1" applyBorder="1" applyAlignment="1">
      <alignment horizontal="left" vertical="center"/>
    </xf>
    <xf numFmtId="0" fontId="36" fillId="0" borderId="60" xfId="0" applyNumberFormat="1" applyFont="1" applyBorder="1"/>
    <xf numFmtId="0" fontId="36" fillId="0" borderId="0" xfId="0" applyNumberFormat="1" applyFont="1" applyBorder="1"/>
    <xf numFmtId="165" fontId="38" fillId="0" borderId="1" xfId="0" applyNumberFormat="1" applyFont="1" applyBorder="1" applyAlignment="1">
      <alignment horizontal="right"/>
    </xf>
    <xf numFmtId="0" fontId="36" fillId="0" borderId="0" xfId="0" applyNumberFormat="1" applyFont="1" applyBorder="1" applyAlignment="1">
      <alignment horizontal="right"/>
    </xf>
    <xf numFmtId="0" fontId="38" fillId="0" borderId="0" xfId="0" applyNumberFormat="1" applyFont="1" applyBorder="1"/>
    <xf numFmtId="0" fontId="35" fillId="5" borderId="17" xfId="0" applyFont="1" applyFill="1" applyBorder="1" applyAlignment="1">
      <alignment horizontal="right"/>
    </xf>
    <xf numFmtId="0" fontId="35" fillId="0" borderId="12" xfId="0" applyFont="1" applyFill="1" applyBorder="1"/>
    <xf numFmtId="0" fontId="35" fillId="0" borderId="10" xfId="0" applyFont="1" applyFill="1" applyBorder="1"/>
    <xf numFmtId="0" fontId="35" fillId="0" borderId="54" xfId="0" applyFont="1" applyFill="1" applyBorder="1" applyAlignment="1">
      <alignment horizontal="left"/>
    </xf>
    <xf numFmtId="0" fontId="38" fillId="0" borderId="1" xfId="0" applyFont="1" applyBorder="1" applyAlignment="1">
      <alignment horizontal="right"/>
    </xf>
    <xf numFmtId="165" fontId="38" fillId="0" borderId="0" xfId="0" applyNumberFormat="1" applyFont="1" applyBorder="1" applyAlignment="1">
      <alignment horizontal="right" vertical="center"/>
    </xf>
    <xf numFmtId="0" fontId="35" fillId="0" borderId="64" xfId="0" applyFont="1" applyBorder="1" applyAlignment="1"/>
    <xf numFmtId="0" fontId="43" fillId="0" borderId="0" xfId="0" applyFont="1" applyFill="1" applyBorder="1" applyAlignment="1">
      <alignment horizontal="right"/>
    </xf>
    <xf numFmtId="0" fontId="5" fillId="0" borderId="58" xfId="0" applyFont="1" applyFill="1" applyBorder="1" applyAlignment="1" applyProtection="1">
      <alignment vertical="center"/>
    </xf>
    <xf numFmtId="0" fontId="43"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35" fillId="0" borderId="55" xfId="0" applyFont="1" applyBorder="1" applyAlignment="1"/>
    <xf numFmtId="0" fontId="35" fillId="0" borderId="58" xfId="0" applyFont="1" applyBorder="1" applyAlignment="1"/>
    <xf numFmtId="0" fontId="35" fillId="0" borderId="8" xfId="0" applyFont="1" applyBorder="1" applyAlignment="1"/>
    <xf numFmtId="0" fontId="38" fillId="0" borderId="6" xfId="0" applyFont="1" applyFill="1" applyBorder="1" applyAlignment="1">
      <alignment horizontal="left"/>
    </xf>
    <xf numFmtId="2" fontId="7" fillId="0" borderId="49" xfId="0" applyNumberFormat="1" applyFont="1" applyBorder="1" applyAlignment="1" applyProtection="1">
      <alignment horizontal="center" vertical="center"/>
    </xf>
    <xf numFmtId="0" fontId="15" fillId="0" borderId="0" xfId="0" applyFont="1" applyBorder="1" applyAlignment="1" applyProtection="1"/>
    <xf numFmtId="0" fontId="38" fillId="0" borderId="0" xfId="0" applyFont="1" applyFill="1" applyBorder="1" applyAlignment="1">
      <alignment horizontal="center"/>
    </xf>
    <xf numFmtId="165" fontId="7" fillId="0" borderId="0" xfId="0" applyNumberFormat="1" applyFont="1" applyFill="1" applyBorder="1" applyAlignment="1" applyProtection="1">
      <alignment horizontal="center" vertical="center"/>
    </xf>
    <xf numFmtId="0" fontId="5" fillId="0" borderId="6" xfId="0" applyFont="1" applyFill="1" applyBorder="1" applyAlignment="1" applyProtection="1">
      <alignment horizontal="right" vertical="center"/>
    </xf>
    <xf numFmtId="0" fontId="10" fillId="0" borderId="52" xfId="0" applyFont="1" applyFill="1" applyBorder="1" applyAlignment="1" applyProtection="1">
      <alignment horizontal="center" vertical="center"/>
      <protection locked="0"/>
    </xf>
    <xf numFmtId="0" fontId="7" fillId="0" borderId="64" xfId="0" applyFont="1" applyFill="1" applyBorder="1" applyAlignment="1" applyProtection="1">
      <alignment horizontal="center" vertical="center"/>
    </xf>
    <xf numFmtId="2" fontId="9" fillId="0" borderId="0" xfId="0" applyNumberFormat="1" applyFont="1" applyFill="1" applyBorder="1" applyAlignment="1" applyProtection="1">
      <alignment horizontal="right"/>
    </xf>
    <xf numFmtId="0" fontId="7" fillId="0" borderId="0" xfId="0" applyFont="1" applyFill="1" applyAlignment="1" applyProtection="1">
      <alignment horizontal="center" vertical="center"/>
    </xf>
    <xf numFmtId="0" fontId="7" fillId="0" borderId="6" xfId="0" applyFont="1" applyFill="1" applyBorder="1" applyAlignment="1" applyProtection="1">
      <alignment vertical="center"/>
    </xf>
    <xf numFmtId="0" fontId="35" fillId="0" borderId="5" xfId="0" applyFont="1" applyFill="1" applyBorder="1" applyAlignment="1">
      <alignment vertical="center"/>
    </xf>
    <xf numFmtId="0" fontId="35" fillId="0" borderId="6" xfId="0" applyFont="1" applyFill="1" applyBorder="1" applyAlignment="1">
      <alignment vertical="center"/>
    </xf>
    <xf numFmtId="0" fontId="36" fillId="0" borderId="1" xfId="0" applyFont="1" applyFill="1" applyBorder="1" applyAlignment="1">
      <alignment vertical="center"/>
    </xf>
    <xf numFmtId="0" fontId="36" fillId="0" borderId="10" xfId="0" applyFont="1" applyFill="1" applyBorder="1" applyAlignment="1">
      <alignment vertical="center"/>
    </xf>
    <xf numFmtId="0" fontId="36" fillId="0" borderId="29" xfId="0" applyFont="1" applyFill="1" applyBorder="1" applyAlignment="1">
      <alignment vertical="center"/>
    </xf>
    <xf numFmtId="0" fontId="36" fillId="0" borderId="30" xfId="0" applyFont="1" applyFill="1" applyBorder="1" applyAlignment="1">
      <alignment vertical="center"/>
    </xf>
    <xf numFmtId="0" fontId="36" fillId="0" borderId="28" xfId="0" applyFont="1" applyFill="1" applyBorder="1" applyAlignment="1">
      <alignment vertical="center"/>
    </xf>
    <xf numFmtId="0" fontId="35" fillId="0" borderId="2" xfId="0" applyFont="1" applyFill="1" applyBorder="1" applyAlignment="1">
      <alignment vertical="center"/>
    </xf>
    <xf numFmtId="0" fontId="35" fillId="0" borderId="3" xfId="0" applyFont="1" applyFill="1" applyBorder="1" applyAlignment="1">
      <alignment vertical="center"/>
    </xf>
    <xf numFmtId="0" fontId="36" fillId="0" borderId="76" xfId="0" applyFont="1" applyFill="1" applyBorder="1" applyAlignment="1">
      <alignment vertical="center"/>
    </xf>
    <xf numFmtId="0" fontId="35" fillId="0" borderId="33" xfId="0" applyFont="1" applyFill="1" applyBorder="1" applyAlignment="1">
      <alignment horizontal="left" vertical="center"/>
    </xf>
    <xf numFmtId="0" fontId="35" fillId="0" borderId="73" xfId="0" applyFont="1" applyFill="1" applyBorder="1" applyAlignment="1">
      <alignment horizontal="left" vertical="center"/>
    </xf>
    <xf numFmtId="0" fontId="36" fillId="0" borderId="72" xfId="0" applyFont="1" applyFill="1" applyBorder="1" applyAlignment="1">
      <alignment vertical="center"/>
    </xf>
    <xf numFmtId="0" fontId="36" fillId="0" borderId="22" xfId="0" applyFont="1" applyFill="1" applyBorder="1" applyAlignment="1">
      <alignment vertical="center"/>
    </xf>
    <xf numFmtId="2" fontId="38" fillId="0" borderId="23" xfId="0" applyNumberFormat="1" applyFont="1" applyFill="1" applyBorder="1" applyAlignment="1">
      <alignment horizontal="center"/>
    </xf>
    <xf numFmtId="2" fontId="38" fillId="0" borderId="0" xfId="0" applyNumberFormat="1" applyFont="1" applyFill="1" applyBorder="1" applyAlignment="1">
      <alignment vertical="center"/>
    </xf>
    <xf numFmtId="2" fontId="38" fillId="0" borderId="0" xfId="0" applyNumberFormat="1" applyFont="1" applyFill="1" applyAlignment="1">
      <alignment vertical="center"/>
    </xf>
    <xf numFmtId="0" fontId="36" fillId="0" borderId="27" xfId="0" applyFont="1" applyFill="1" applyBorder="1" applyAlignment="1">
      <alignment vertical="center"/>
    </xf>
    <xf numFmtId="0" fontId="35" fillId="0" borderId="24" xfId="0" applyFont="1" applyFill="1" applyBorder="1" applyAlignment="1">
      <alignment vertical="center"/>
    </xf>
    <xf numFmtId="0" fontId="38" fillId="0" borderId="24" xfId="0" applyFont="1" applyFill="1" applyBorder="1" applyAlignment="1">
      <alignment horizontal="center"/>
    </xf>
    <xf numFmtId="2" fontId="38" fillId="0" borderId="24" xfId="0" applyNumberFormat="1" applyFont="1" applyFill="1" applyBorder="1" applyAlignment="1">
      <alignment horizontal="center"/>
    </xf>
    <xf numFmtId="1" fontId="38" fillId="0" borderId="24" xfId="0" applyNumberFormat="1" applyFont="1" applyFill="1" applyBorder="1" applyAlignment="1">
      <alignment horizontal="center"/>
    </xf>
    <xf numFmtId="2" fontId="38" fillId="0" borderId="25" xfId="0" applyNumberFormat="1" applyFont="1" applyFill="1" applyBorder="1" applyAlignment="1">
      <alignment horizontal="center"/>
    </xf>
    <xf numFmtId="0" fontId="35" fillId="0" borderId="14" xfId="0" applyFont="1" applyFill="1" applyBorder="1" applyAlignment="1">
      <alignment vertical="center"/>
    </xf>
    <xf numFmtId="0" fontId="38" fillId="0" borderId="14" xfId="0" applyFont="1" applyFill="1" applyBorder="1" applyAlignment="1">
      <alignment horizontal="center"/>
    </xf>
    <xf numFmtId="2" fontId="38" fillId="0" borderId="14" xfId="0" applyNumberFormat="1" applyFont="1" applyFill="1" applyBorder="1" applyAlignment="1">
      <alignment horizontal="center"/>
    </xf>
    <xf numFmtId="0" fontId="50" fillId="0" borderId="0" xfId="0" applyFont="1" applyFill="1" applyBorder="1" applyAlignment="1">
      <alignment vertical="center"/>
    </xf>
    <xf numFmtId="2" fontId="40" fillId="0" borderId="0" xfId="0" applyNumberFormat="1" applyFont="1" applyFill="1" applyBorder="1" applyAlignment="1">
      <alignment horizontal="center" vertical="center"/>
    </xf>
    <xf numFmtId="165" fontId="40" fillId="0" borderId="0" xfId="0" applyNumberFormat="1" applyFont="1" applyFill="1" applyBorder="1" applyAlignment="1">
      <alignment horizontal="center" vertical="center"/>
    </xf>
    <xf numFmtId="1" fontId="40" fillId="0" borderId="23" xfId="0" applyNumberFormat="1" applyFont="1" applyFill="1" applyBorder="1" applyAlignment="1">
      <alignment horizontal="center" vertical="center"/>
    </xf>
    <xf numFmtId="0" fontId="43" fillId="0" borderId="0" xfId="0" applyFont="1" applyFill="1" applyBorder="1" applyAlignment="1">
      <alignment horizontal="left" vertical="center"/>
    </xf>
    <xf numFmtId="165" fontId="36" fillId="0" borderId="0" xfId="0" applyNumberFormat="1" applyFont="1" applyFill="1" applyBorder="1" applyAlignment="1">
      <alignment vertical="center"/>
    </xf>
    <xf numFmtId="0" fontId="35" fillId="0" borderId="1" xfId="0" applyFont="1" applyFill="1" applyBorder="1" applyAlignment="1">
      <alignment horizontal="right" vertical="center"/>
    </xf>
    <xf numFmtId="0" fontId="43" fillId="0" borderId="1" xfId="0" applyFont="1" applyFill="1" applyBorder="1" applyAlignment="1">
      <alignment vertical="center"/>
    </xf>
    <xf numFmtId="2" fontId="43" fillId="0" borderId="1" xfId="0" applyNumberFormat="1" applyFont="1" applyFill="1" applyBorder="1" applyAlignment="1">
      <alignment vertical="center"/>
    </xf>
    <xf numFmtId="167" fontId="38" fillId="0" borderId="0" xfId="0" applyNumberFormat="1" applyFont="1" applyFill="1" applyBorder="1"/>
    <xf numFmtId="1" fontId="43" fillId="0" borderId="0" xfId="0" applyNumberFormat="1" applyFont="1" applyFill="1" applyBorder="1" applyAlignment="1">
      <alignment horizontal="right" vertical="center"/>
    </xf>
    <xf numFmtId="1" fontId="43" fillId="0" borderId="6" xfId="0" applyNumberFormat="1" applyFont="1" applyFill="1" applyBorder="1" applyAlignment="1">
      <alignment vertical="center"/>
    </xf>
    <xf numFmtId="1" fontId="43" fillId="0" borderId="1" xfId="0" applyNumberFormat="1" applyFont="1" applyFill="1" applyBorder="1" applyAlignment="1">
      <alignment horizontal="right" vertical="center"/>
    </xf>
    <xf numFmtId="1" fontId="43" fillId="0" borderId="1" xfId="0" applyNumberFormat="1" applyFont="1" applyFill="1" applyBorder="1" applyAlignment="1">
      <alignment vertical="center"/>
    </xf>
    <xf numFmtId="1" fontId="43" fillId="0" borderId="10" xfId="0" applyNumberFormat="1" applyFont="1" applyFill="1" applyBorder="1" applyAlignment="1">
      <alignment vertical="center"/>
    </xf>
    <xf numFmtId="0" fontId="39" fillId="0" borderId="0" xfId="0" applyFont="1" applyFill="1" applyBorder="1" applyAlignment="1">
      <alignment vertical="center" wrapText="1"/>
    </xf>
    <xf numFmtId="0" fontId="43" fillId="0" borderId="60" xfId="0" applyFont="1" applyFill="1" applyBorder="1"/>
    <xf numFmtId="165" fontId="39" fillId="0" borderId="0" xfId="0" applyNumberFormat="1" applyFont="1" applyFill="1" applyBorder="1" applyAlignment="1">
      <alignment vertical="center"/>
    </xf>
    <xf numFmtId="0" fontId="35" fillId="0" borderId="6" xfId="0" applyFont="1" applyFill="1" applyBorder="1" applyAlignment="1">
      <alignment horizontal="right"/>
    </xf>
    <xf numFmtId="1" fontId="38" fillId="0" borderId="58" xfId="0" applyNumberFormat="1" applyFont="1" applyFill="1" applyBorder="1" applyAlignment="1"/>
    <xf numFmtId="1" fontId="38" fillId="0" borderId="21" xfId="0" applyNumberFormat="1" applyFont="1" applyFill="1" applyBorder="1" applyAlignment="1"/>
    <xf numFmtId="0" fontId="35" fillId="0" borderId="21" xfId="0" applyFont="1" applyFill="1" applyBorder="1" applyAlignment="1"/>
    <xf numFmtId="1" fontId="38" fillId="0" borderId="63" xfId="0" applyNumberFormat="1" applyFont="1" applyFill="1" applyBorder="1" applyAlignment="1"/>
    <xf numFmtId="0" fontId="40" fillId="8" borderId="21" xfId="0" applyFont="1" applyFill="1" applyBorder="1" applyAlignment="1"/>
    <xf numFmtId="0" fontId="38" fillId="8" borderId="55" xfId="0" applyFont="1" applyFill="1" applyBorder="1" applyAlignment="1">
      <alignment horizontal="right"/>
    </xf>
    <xf numFmtId="0" fontId="38" fillId="8" borderId="8" xfId="0" applyFont="1" applyFill="1" applyBorder="1" applyAlignment="1">
      <alignment horizontal="right"/>
    </xf>
    <xf numFmtId="168" fontId="43" fillId="0" borderId="0" xfId="0" applyNumberFormat="1" applyFont="1" applyFill="1" applyBorder="1" applyAlignment="1"/>
    <xf numFmtId="0" fontId="35" fillId="0" borderId="66" xfId="0" applyFont="1" applyBorder="1" applyAlignment="1"/>
    <xf numFmtId="0" fontId="36" fillId="0" borderId="0" xfId="0" applyFont="1" applyAlignment="1">
      <alignment horizontal="right"/>
    </xf>
    <xf numFmtId="0" fontId="36" fillId="0" borderId="53" xfId="0" applyFont="1" applyBorder="1" applyAlignment="1"/>
    <xf numFmtId="0" fontId="35" fillId="0" borderId="54" xfId="0" applyFont="1" applyBorder="1" applyAlignment="1"/>
    <xf numFmtId="0" fontId="36" fillId="0" borderId="12" xfId="0" applyFont="1" applyBorder="1" applyAlignment="1"/>
    <xf numFmtId="1" fontId="40" fillId="0" borderId="1" xfId="0" applyNumberFormat="1" applyFont="1" applyBorder="1" applyAlignment="1"/>
    <xf numFmtId="1" fontId="40" fillId="0" borderId="64" xfId="0" applyNumberFormat="1" applyFont="1" applyBorder="1" applyAlignment="1"/>
    <xf numFmtId="0" fontId="36" fillId="0" borderId="67" xfId="0" applyFont="1" applyBorder="1" applyAlignment="1">
      <alignment horizontal="right"/>
    </xf>
    <xf numFmtId="0" fontId="36" fillId="0" borderId="54" xfId="0" applyFont="1" applyBorder="1" applyAlignment="1"/>
    <xf numFmtId="0" fontId="36" fillId="0" borderId="10" xfId="0" applyFont="1" applyBorder="1" applyAlignment="1"/>
    <xf numFmtId="0" fontId="36" fillId="0" borderId="6" xfId="0" applyNumberFormat="1" applyFont="1" applyBorder="1"/>
    <xf numFmtId="2" fontId="38" fillId="0" borderId="1" xfId="0" applyNumberFormat="1" applyFont="1" applyBorder="1" applyAlignment="1">
      <alignment horizontal="right" vertical="center"/>
    </xf>
    <xf numFmtId="0" fontId="45" fillId="3" borderId="17" xfId="0" applyFont="1" applyFill="1" applyBorder="1" applyAlignment="1"/>
    <xf numFmtId="0" fontId="35" fillId="0" borderId="0" xfId="0" applyNumberFormat="1" applyFont="1" applyBorder="1" applyAlignment="1">
      <alignment vertical="center"/>
    </xf>
    <xf numFmtId="2" fontId="35" fillId="0" borderId="0" xfId="0" applyNumberFormat="1" applyFont="1" applyBorder="1" applyAlignment="1">
      <alignment horizontal="left" vertical="center"/>
    </xf>
    <xf numFmtId="0" fontId="35" fillId="0" borderId="1" xfId="0" applyNumberFormat="1" applyFont="1" applyFill="1" applyBorder="1"/>
    <xf numFmtId="0" fontId="35" fillId="0" borderId="60" xfId="0" applyFont="1" applyBorder="1" applyAlignment="1">
      <alignment horizontal="left" vertical="center" indent="4"/>
    </xf>
    <xf numFmtId="0" fontId="35" fillId="0" borderId="60" xfId="0" applyNumberFormat="1" applyFont="1" applyBorder="1" applyAlignment="1">
      <alignment horizontal="left" indent="4"/>
    </xf>
    <xf numFmtId="0" fontId="36" fillId="0" borderId="6" xfId="0" applyFont="1" applyBorder="1" applyAlignment="1">
      <alignment vertical="center"/>
    </xf>
    <xf numFmtId="1" fontId="38" fillId="0" borderId="1" xfId="0" applyNumberFormat="1" applyFont="1" applyBorder="1" applyAlignment="1">
      <alignment horizontal="right"/>
    </xf>
    <xf numFmtId="0" fontId="38" fillId="0" borderId="1" xfId="0" applyNumberFormat="1" applyFont="1" applyBorder="1"/>
    <xf numFmtId="0" fontId="36" fillId="0" borderId="60" xfId="0" applyNumberFormat="1" applyFont="1" applyBorder="1" applyAlignment="1">
      <alignment horizontal="right"/>
    </xf>
    <xf numFmtId="0" fontId="35" fillId="18" borderId="66" xfId="0" applyNumberFormat="1" applyFont="1" applyFill="1" applyBorder="1"/>
    <xf numFmtId="0" fontId="35" fillId="18" borderId="14" xfId="0" applyNumberFormat="1" applyFont="1" applyFill="1" applyBorder="1" applyAlignment="1">
      <alignment horizontal="right"/>
    </xf>
    <xf numFmtId="0" fontId="35" fillId="18" borderId="14" xfId="0" applyNumberFormat="1" applyFont="1" applyFill="1" applyBorder="1"/>
    <xf numFmtId="0" fontId="35" fillId="18" borderId="67" xfId="0" applyNumberFormat="1" applyFont="1" applyFill="1" applyBorder="1"/>
    <xf numFmtId="0" fontId="36" fillId="18" borderId="60" xfId="0" applyNumberFormat="1" applyFont="1" applyFill="1" applyBorder="1"/>
    <xf numFmtId="0" fontId="36" fillId="18" borderId="0" xfId="0" applyNumberFormat="1" applyFont="1" applyFill="1" applyBorder="1" applyAlignment="1">
      <alignment horizontal="right"/>
    </xf>
    <xf numFmtId="0" fontId="35" fillId="18" borderId="0" xfId="0" applyNumberFormat="1" applyFont="1" applyFill="1"/>
    <xf numFmtId="0" fontId="35" fillId="18" borderId="0" xfId="0" applyNumberFormat="1" applyFont="1" applyFill="1" applyBorder="1" applyAlignment="1">
      <alignment horizontal="right"/>
    </xf>
    <xf numFmtId="0" fontId="35" fillId="18" borderId="6" xfId="0" applyNumberFormat="1" applyFont="1" applyFill="1" applyBorder="1"/>
    <xf numFmtId="0" fontId="35" fillId="18" borderId="60" xfId="0" applyNumberFormat="1" applyFont="1" applyFill="1" applyBorder="1"/>
    <xf numFmtId="165" fontId="38" fillId="18" borderId="0" xfId="0" applyNumberFormat="1" applyFont="1" applyFill="1" applyBorder="1" applyAlignment="1">
      <alignment horizontal="right"/>
    </xf>
    <xf numFmtId="0" fontId="35" fillId="18" borderId="0" xfId="0" applyNumberFormat="1" applyFont="1" applyFill="1" applyBorder="1"/>
    <xf numFmtId="165" fontId="35" fillId="18" borderId="0" xfId="0" applyNumberFormat="1" applyFont="1" applyFill="1" applyBorder="1" applyAlignment="1">
      <alignment horizontal="right"/>
    </xf>
    <xf numFmtId="0" fontId="36" fillId="18" borderId="0" xfId="0" applyNumberFormat="1" applyFont="1" applyFill="1"/>
    <xf numFmtId="165" fontId="40" fillId="18" borderId="0" xfId="0" applyNumberFormat="1" applyFont="1" applyFill="1" applyBorder="1" applyAlignment="1">
      <alignment horizontal="right"/>
    </xf>
    <xf numFmtId="0" fontId="36" fillId="18" borderId="0" xfId="0" applyNumberFormat="1" applyFont="1" applyFill="1" applyBorder="1"/>
    <xf numFmtId="0" fontId="38" fillId="18" borderId="0" xfId="0" applyNumberFormat="1" applyFont="1" applyFill="1" applyBorder="1" applyAlignment="1">
      <alignment horizontal="right"/>
    </xf>
    <xf numFmtId="2" fontId="38" fillId="18" borderId="0" xfId="0" applyNumberFormat="1" applyFont="1" applyFill="1" applyBorder="1" applyAlignment="1">
      <alignment horizontal="right"/>
    </xf>
    <xf numFmtId="0" fontId="43" fillId="18" borderId="0" xfId="0" applyNumberFormat="1" applyFont="1" applyFill="1" applyBorder="1" applyAlignment="1">
      <alignment horizontal="right"/>
    </xf>
    <xf numFmtId="0" fontId="38" fillId="18" borderId="0" xfId="0" applyNumberFormat="1" applyFont="1" applyFill="1" applyBorder="1"/>
    <xf numFmtId="0" fontId="36" fillId="18" borderId="53" xfId="0" applyNumberFormat="1" applyFont="1" applyFill="1" applyBorder="1"/>
    <xf numFmtId="0" fontId="35" fillId="18" borderId="64" xfId="0" applyNumberFormat="1" applyFont="1" applyFill="1" applyBorder="1" applyAlignment="1">
      <alignment horizontal="right"/>
    </xf>
    <xf numFmtId="0" fontId="35" fillId="18" borderId="54" xfId="0" applyNumberFormat="1" applyFont="1" applyFill="1" applyBorder="1"/>
    <xf numFmtId="0" fontId="35" fillId="18" borderId="12" xfId="0" applyNumberFormat="1" applyFont="1" applyFill="1" applyBorder="1"/>
    <xf numFmtId="0" fontId="38" fillId="18" borderId="1" xfId="0" applyNumberFormat="1" applyFont="1" applyFill="1" applyBorder="1" applyAlignment="1">
      <alignment horizontal="right"/>
    </xf>
    <xf numFmtId="0" fontId="35" fillId="18" borderId="10" xfId="0" applyNumberFormat="1" applyFont="1" applyFill="1" applyBorder="1"/>
    <xf numFmtId="0" fontId="35" fillId="18" borderId="1" xfId="0" applyNumberFormat="1" applyFont="1" applyFill="1" applyBorder="1"/>
    <xf numFmtId="0" fontId="35" fillId="18" borderId="53" xfId="0" applyFont="1" applyFill="1" applyBorder="1"/>
    <xf numFmtId="0" fontId="35" fillId="18" borderId="64" xfId="0" applyFont="1" applyFill="1" applyBorder="1"/>
    <xf numFmtId="0" fontId="35" fillId="18" borderId="60" xfId="0" applyFont="1" applyFill="1" applyBorder="1"/>
    <xf numFmtId="0" fontId="35" fillId="18" borderId="0" xfId="0" applyFont="1" applyFill="1" applyBorder="1"/>
    <xf numFmtId="0" fontId="35" fillId="18" borderId="12" xfId="0" applyNumberFormat="1" applyFont="1" applyFill="1" applyBorder="1" applyAlignment="1">
      <alignment horizontal="left"/>
    </xf>
    <xf numFmtId="0" fontId="39" fillId="5" borderId="19" xfId="0" applyFont="1" applyFill="1" applyBorder="1"/>
    <xf numFmtId="0" fontId="43" fillId="5" borderId="17" xfId="0" applyFont="1" applyFill="1" applyBorder="1"/>
    <xf numFmtId="0" fontId="43" fillId="5" borderId="18" xfId="0" applyFont="1" applyFill="1" applyBorder="1"/>
    <xf numFmtId="1" fontId="38" fillId="0" borderId="6" xfId="0" applyNumberFormat="1" applyFont="1" applyBorder="1" applyAlignment="1">
      <alignment vertical="center"/>
    </xf>
    <xf numFmtId="1" fontId="38" fillId="0" borderId="1" xfId="0" applyNumberFormat="1" applyFont="1" applyBorder="1" applyAlignment="1">
      <alignment vertical="center"/>
    </xf>
    <xf numFmtId="1" fontId="38" fillId="0" borderId="10" xfId="0" applyNumberFormat="1" applyFont="1" applyBorder="1" applyAlignment="1">
      <alignment vertical="center"/>
    </xf>
    <xf numFmtId="1" fontId="39" fillId="0" borderId="13" xfId="0" applyNumberFormat="1" applyFont="1" applyFill="1" applyBorder="1" applyAlignment="1">
      <alignment horizontal="center" vertical="center"/>
    </xf>
    <xf numFmtId="0" fontId="39" fillId="8" borderId="64" xfId="0" applyFont="1" applyFill="1" applyBorder="1" applyAlignment="1">
      <alignment vertical="center"/>
    </xf>
    <xf numFmtId="0" fontId="38" fillId="0" borderId="60" xfId="0" applyFont="1" applyFill="1" applyBorder="1" applyAlignment="1">
      <alignment horizontal="right" vertical="center"/>
    </xf>
    <xf numFmtId="166" fontId="38" fillId="0" borderId="0" xfId="0" applyNumberFormat="1" applyFont="1" applyFill="1" applyBorder="1" applyAlignment="1">
      <alignment vertical="center"/>
    </xf>
    <xf numFmtId="166" fontId="38" fillId="0" borderId="6" xfId="0" applyNumberFormat="1" applyFont="1" applyFill="1" applyBorder="1" applyAlignment="1">
      <alignment vertical="center"/>
    </xf>
    <xf numFmtId="0" fontId="38" fillId="0" borderId="12" xfId="0" applyFont="1" applyFill="1" applyBorder="1" applyAlignment="1">
      <alignment horizontal="right" vertical="center"/>
    </xf>
    <xf numFmtId="166" fontId="38" fillId="0" borderId="1" xfId="0" applyNumberFormat="1" applyFont="1" applyFill="1" applyBorder="1" applyAlignment="1">
      <alignment horizontal="right" vertical="center"/>
    </xf>
    <xf numFmtId="166" fontId="38" fillId="0" borderId="1" xfId="0" applyNumberFormat="1" applyFont="1" applyFill="1" applyBorder="1" applyAlignment="1">
      <alignment vertical="center"/>
    </xf>
    <xf numFmtId="166" fontId="38" fillId="0" borderId="10" xfId="0" applyNumberFormat="1" applyFont="1" applyFill="1" applyBorder="1" applyAlignment="1">
      <alignment vertical="center"/>
    </xf>
    <xf numFmtId="0" fontId="35" fillId="0" borderId="14" xfId="0" applyFont="1" applyFill="1" applyBorder="1"/>
    <xf numFmtId="0" fontId="35" fillId="0" borderId="15" xfId="0" applyFont="1" applyFill="1" applyBorder="1"/>
    <xf numFmtId="0" fontId="43" fillId="0" borderId="23" xfId="0" applyFont="1" applyFill="1" applyBorder="1"/>
    <xf numFmtId="2" fontId="38" fillId="0" borderId="0" xfId="0" applyNumberFormat="1" applyFont="1" applyFill="1" applyBorder="1"/>
    <xf numFmtId="0" fontId="39" fillId="0" borderId="23" xfId="0" applyFont="1" applyFill="1" applyBorder="1"/>
    <xf numFmtId="0" fontId="39" fillId="0" borderId="24" xfId="0" applyFont="1" applyFill="1" applyBorder="1"/>
    <xf numFmtId="0" fontId="43" fillId="0" borderId="25" xfId="0" applyFont="1" applyFill="1" applyBorder="1"/>
    <xf numFmtId="0" fontId="36" fillId="0" borderId="60" xfId="0" applyFont="1" applyFill="1" applyBorder="1" applyAlignment="1">
      <alignment vertical="center"/>
    </xf>
    <xf numFmtId="0" fontId="43" fillId="0" borderId="53" xfId="0" applyFont="1" applyBorder="1" applyAlignment="1">
      <alignment horizontal="left"/>
    </xf>
    <xf numFmtId="0" fontId="43" fillId="0" borderId="64" xfId="0" applyFont="1" applyBorder="1" applyAlignment="1"/>
    <xf numFmtId="0" fontId="43" fillId="0" borderId="0" xfId="0" applyFont="1" applyBorder="1" applyAlignment="1"/>
    <xf numFmtId="0" fontId="36" fillId="0" borderId="0" xfId="0" applyFont="1" applyBorder="1" applyAlignment="1"/>
    <xf numFmtId="165" fontId="38" fillId="0" borderId="0" xfId="0" applyNumberFormat="1" applyFont="1" applyBorder="1" applyAlignment="1"/>
    <xf numFmtId="0" fontId="35" fillId="0" borderId="64" xfId="0" applyFont="1" applyFill="1" applyBorder="1" applyAlignment="1"/>
    <xf numFmtId="0" fontId="43" fillId="0" borderId="64" xfId="0" applyFont="1" applyBorder="1" applyAlignment="1">
      <alignment horizontal="right"/>
    </xf>
    <xf numFmtId="0" fontId="45" fillId="3" borderId="22" xfId="0" applyFont="1" applyFill="1" applyBorder="1" applyAlignment="1"/>
    <xf numFmtId="0" fontId="37" fillId="3" borderId="14" xfId="0" applyFont="1" applyFill="1" applyBorder="1" applyAlignment="1">
      <alignment horizontal="right"/>
    </xf>
    <xf numFmtId="0" fontId="37" fillId="3" borderId="14" xfId="0" applyFont="1" applyFill="1" applyBorder="1" applyAlignment="1"/>
    <xf numFmtId="0" fontId="35" fillId="3" borderId="14" xfId="0" applyFont="1" applyFill="1" applyBorder="1" applyAlignment="1"/>
    <xf numFmtId="0" fontId="35" fillId="3" borderId="14" xfId="0" applyFont="1" applyFill="1" applyBorder="1" applyAlignment="1">
      <alignment horizontal="right"/>
    </xf>
    <xf numFmtId="0" fontId="35" fillId="3" borderId="15" xfId="0" applyFont="1" applyFill="1" applyBorder="1" applyAlignment="1"/>
    <xf numFmtId="0" fontId="38" fillId="0" borderId="12" xfId="0" applyFont="1" applyBorder="1" applyAlignment="1">
      <alignment horizontal="right"/>
    </xf>
    <xf numFmtId="2" fontId="35" fillId="0" borderId="60" xfId="0" applyNumberFormat="1" applyFont="1" applyFill="1" applyBorder="1" applyAlignment="1">
      <alignment horizontal="right"/>
    </xf>
    <xf numFmtId="0" fontId="35" fillId="7" borderId="57" xfId="0" applyFont="1" applyFill="1" applyBorder="1" applyAlignment="1"/>
    <xf numFmtId="0" fontId="35" fillId="7" borderId="12" xfId="0" applyFont="1" applyFill="1" applyBorder="1" applyAlignment="1"/>
    <xf numFmtId="0" fontId="35" fillId="5" borderId="17" xfId="0" applyFont="1" applyFill="1" applyBorder="1" applyAlignment="1">
      <alignment horizontal="left"/>
    </xf>
    <xf numFmtId="0" fontId="35" fillId="5" borderId="17" xfId="0" applyFont="1" applyFill="1" applyBorder="1" applyAlignment="1"/>
    <xf numFmtId="0" fontId="35" fillId="5" borderId="18" xfId="0" applyFont="1" applyFill="1" applyBorder="1" applyAlignment="1"/>
    <xf numFmtId="0" fontId="39" fillId="5" borderId="19" xfId="0" applyFont="1" applyFill="1" applyBorder="1" applyAlignment="1"/>
    <xf numFmtId="0" fontId="43" fillId="7" borderId="12" xfId="0" applyFont="1" applyFill="1" applyBorder="1" applyAlignment="1"/>
    <xf numFmtId="0" fontId="36" fillId="7" borderId="19" xfId="0" applyFont="1" applyFill="1" applyBorder="1" applyAlignment="1"/>
    <xf numFmtId="0" fontId="36" fillId="7" borderId="17" xfId="0" applyFont="1" applyFill="1" applyBorder="1" applyAlignment="1">
      <alignment horizontal="right"/>
    </xf>
    <xf numFmtId="0" fontId="36" fillId="7" borderId="17" xfId="0" applyFont="1" applyFill="1" applyBorder="1" applyAlignment="1"/>
    <xf numFmtId="0" fontId="36" fillId="7" borderId="18" xfId="0" applyFont="1" applyFill="1" applyBorder="1" applyAlignment="1"/>
    <xf numFmtId="0" fontId="43" fillId="0" borderId="60" xfId="0" applyFont="1" applyFill="1" applyBorder="1" applyAlignment="1">
      <alignment horizontal="left"/>
    </xf>
    <xf numFmtId="0" fontId="45" fillId="3" borderId="34" xfId="0" applyFont="1" applyFill="1" applyBorder="1" applyAlignment="1">
      <alignment horizontal="right"/>
    </xf>
    <xf numFmtId="0" fontId="35" fillId="0" borderId="60" xfId="0" applyFont="1" applyFill="1" applyBorder="1" applyAlignment="1">
      <alignment horizontal="right"/>
    </xf>
    <xf numFmtId="0" fontId="38" fillId="0" borderId="53" xfId="0" applyFont="1" applyFill="1" applyBorder="1" applyAlignment="1">
      <alignment horizontal="right"/>
    </xf>
    <xf numFmtId="0" fontId="38" fillId="0" borderId="60" xfId="0" applyFont="1" applyFill="1" applyBorder="1" applyAlignment="1">
      <alignment horizontal="right"/>
    </xf>
    <xf numFmtId="0" fontId="35" fillId="0" borderId="53" xfId="0" applyFont="1" applyBorder="1" applyAlignment="1">
      <alignment horizontal="right"/>
    </xf>
    <xf numFmtId="0" fontId="36" fillId="7" borderId="34" xfId="0" applyFont="1" applyFill="1" applyBorder="1" applyAlignment="1">
      <alignment horizontal="right"/>
    </xf>
    <xf numFmtId="0" fontId="45" fillId="3" borderId="66" xfId="0" applyFont="1" applyFill="1" applyBorder="1" applyAlignment="1">
      <alignment horizontal="right"/>
    </xf>
    <xf numFmtId="0" fontId="35" fillId="5" borderId="34" xfId="0" applyFont="1" applyFill="1" applyBorder="1" applyAlignment="1">
      <alignment horizontal="right"/>
    </xf>
    <xf numFmtId="0" fontId="35" fillId="3" borderId="34" xfId="0" applyFont="1" applyFill="1" applyBorder="1" applyAlignment="1">
      <alignment horizontal="right"/>
    </xf>
    <xf numFmtId="0" fontId="35" fillId="3" borderId="66" xfId="0" applyFont="1" applyFill="1" applyBorder="1" applyAlignment="1">
      <alignment horizontal="right"/>
    </xf>
    <xf numFmtId="0" fontId="35" fillId="0" borderId="53" xfId="0" applyFont="1" applyBorder="1" applyAlignment="1"/>
    <xf numFmtId="0" fontId="35" fillId="0" borderId="52" xfId="0" applyFont="1" applyBorder="1" applyAlignment="1">
      <alignment horizontal="center"/>
    </xf>
    <xf numFmtId="0" fontId="35" fillId="0" borderId="62" xfId="0" applyFont="1" applyBorder="1" applyAlignment="1">
      <alignment horizontal="center"/>
    </xf>
    <xf numFmtId="165" fontId="38" fillId="0" borderId="64" xfId="0" applyNumberFormat="1" applyFont="1" applyFill="1" applyBorder="1" applyAlignment="1">
      <alignment horizontal="right"/>
    </xf>
    <xf numFmtId="0" fontId="35" fillId="0" borderId="55" xfId="0" applyFont="1" applyFill="1" applyBorder="1" applyAlignment="1"/>
    <xf numFmtId="0" fontId="35" fillId="0" borderId="58" xfId="0" applyFont="1" applyBorder="1" applyAlignment="1">
      <alignment horizontal="left"/>
    </xf>
    <xf numFmtId="0" fontId="0" fillId="0" borderId="77" xfId="0" applyBorder="1"/>
    <xf numFmtId="0" fontId="0" fillId="0" borderId="78" xfId="0" applyBorder="1"/>
    <xf numFmtId="0" fontId="0" fillId="0" borderId="79" xfId="0" applyBorder="1"/>
    <xf numFmtId="0" fontId="0" fillId="0" borderId="80" xfId="0" applyBorder="1"/>
    <xf numFmtId="0" fontId="0" fillId="0" borderId="81" xfId="0" applyBorder="1"/>
    <xf numFmtId="0" fontId="0" fillId="0" borderId="82" xfId="0" applyBorder="1"/>
    <xf numFmtId="0" fontId="0" fillId="0" borderId="83" xfId="0" applyBorder="1"/>
    <xf numFmtId="0" fontId="0" fillId="0" borderId="84" xfId="0" applyBorder="1"/>
    <xf numFmtId="0" fontId="0" fillId="0" borderId="85" xfId="0" applyBorder="1"/>
    <xf numFmtId="0" fontId="35" fillId="0" borderId="12" xfId="0" applyFont="1" applyFill="1" applyBorder="1" applyAlignment="1"/>
    <xf numFmtId="2" fontId="38" fillId="0" borderId="12" xfId="0" applyNumberFormat="1" applyFont="1" applyFill="1" applyBorder="1" applyAlignment="1">
      <alignment horizontal="right"/>
    </xf>
    <xf numFmtId="2" fontId="38" fillId="0" borderId="1" xfId="0" applyNumberFormat="1" applyFont="1" applyFill="1" applyBorder="1" applyAlignment="1">
      <alignment horizontal="right"/>
    </xf>
    <xf numFmtId="0" fontId="43" fillId="0" borderId="1" xfId="0" applyFont="1" applyFill="1" applyBorder="1" applyAlignment="1"/>
    <xf numFmtId="2" fontId="35" fillId="0" borderId="12" xfId="0" applyNumberFormat="1" applyFont="1" applyFill="1" applyBorder="1" applyAlignment="1">
      <alignment horizontal="right"/>
    </xf>
    <xf numFmtId="0" fontId="35" fillId="8" borderId="57" xfId="0" applyFont="1" applyFill="1" applyBorder="1" applyAlignment="1">
      <alignment horizontal="left"/>
    </xf>
    <xf numFmtId="0" fontId="35" fillId="8" borderId="57" xfId="0" applyFont="1" applyFill="1" applyBorder="1" applyAlignment="1">
      <alignment horizontal="right"/>
    </xf>
    <xf numFmtId="165" fontId="38" fillId="8" borderId="63" xfId="0" applyNumberFormat="1" applyFont="1" applyFill="1" applyBorder="1" applyAlignment="1">
      <alignment horizontal="right"/>
    </xf>
    <xf numFmtId="0" fontId="35" fillId="8" borderId="63" xfId="0" applyFont="1" applyFill="1" applyBorder="1" applyAlignment="1">
      <alignment horizontal="left"/>
    </xf>
    <xf numFmtId="0" fontId="35" fillId="8" borderId="62" xfId="0" applyFont="1" applyFill="1" applyBorder="1" applyAlignment="1">
      <alignment horizontal="left"/>
    </xf>
    <xf numFmtId="0" fontId="35" fillId="8" borderId="60" xfId="0" applyFont="1" applyFill="1" applyBorder="1" applyAlignment="1">
      <alignment horizontal="left"/>
    </xf>
    <xf numFmtId="0" fontId="35" fillId="8" borderId="60" xfId="0" applyFont="1" applyFill="1" applyBorder="1" applyAlignment="1">
      <alignment horizontal="right"/>
    </xf>
    <xf numFmtId="0" fontId="35" fillId="8" borderId="0" xfId="0" applyFont="1" applyFill="1" applyBorder="1" applyAlignment="1">
      <alignment horizontal="left"/>
    </xf>
    <xf numFmtId="0" fontId="35" fillId="8" borderId="53" xfId="0" applyFont="1" applyFill="1" applyBorder="1" applyAlignment="1"/>
    <xf numFmtId="2" fontId="35" fillId="8" borderId="53" xfId="0" applyNumberFormat="1" applyFont="1" applyFill="1" applyBorder="1" applyAlignment="1">
      <alignment horizontal="right"/>
    </xf>
    <xf numFmtId="2" fontId="38" fillId="8" borderId="64" xfId="0" applyNumberFormat="1" applyFont="1" applyFill="1" applyBorder="1" applyAlignment="1">
      <alignment horizontal="right"/>
    </xf>
    <xf numFmtId="0" fontId="35" fillId="8" borderId="64" xfId="0" applyFont="1" applyFill="1" applyBorder="1" applyAlignment="1"/>
    <xf numFmtId="0" fontId="35" fillId="8" borderId="54" xfId="0" applyFont="1" applyFill="1" applyBorder="1" applyAlignment="1"/>
    <xf numFmtId="0" fontId="35" fillId="0" borderId="54" xfId="0" applyFont="1" applyFill="1" applyBorder="1" applyAlignment="1"/>
    <xf numFmtId="0" fontId="36" fillId="0" borderId="60" xfId="0" applyFont="1" applyFill="1" applyBorder="1" applyAlignment="1">
      <alignment horizontal="center"/>
    </xf>
    <xf numFmtId="1" fontId="39" fillId="0" borderId="20" xfId="0" applyNumberFormat="1" applyFont="1" applyFill="1" applyBorder="1" applyAlignment="1">
      <alignment horizontal="center" vertical="center"/>
    </xf>
    <xf numFmtId="0" fontId="39" fillId="0" borderId="13" xfId="0" applyFont="1" applyFill="1" applyBorder="1" applyAlignment="1">
      <alignment horizontal="center" vertical="center"/>
    </xf>
    <xf numFmtId="165" fontId="43" fillId="0" borderId="16" xfId="0" applyNumberFormat="1" applyFont="1" applyFill="1" applyBorder="1" applyAlignment="1">
      <alignment horizontal="center"/>
    </xf>
    <xf numFmtId="165" fontId="43" fillId="0" borderId="20" xfId="0" applyNumberFormat="1" applyFont="1" applyFill="1" applyBorder="1" applyAlignment="1">
      <alignment horizontal="center"/>
    </xf>
    <xf numFmtId="0" fontId="43" fillId="0" borderId="0" xfId="0" applyFont="1" applyFill="1" applyAlignment="1">
      <alignment vertical="center"/>
    </xf>
    <xf numFmtId="0" fontId="43" fillId="3" borderId="17" xfId="0" applyFont="1" applyFill="1" applyBorder="1" applyAlignment="1">
      <alignment vertical="center"/>
    </xf>
    <xf numFmtId="165" fontId="43" fillId="0" borderId="16" xfId="0" applyNumberFormat="1" applyFont="1" applyFill="1" applyBorder="1" applyAlignment="1">
      <alignment horizontal="center" vertical="center"/>
    </xf>
    <xf numFmtId="0" fontId="40" fillId="0" borderId="1" xfId="0" applyFont="1" applyFill="1" applyBorder="1" applyAlignment="1">
      <alignment vertical="center"/>
    </xf>
    <xf numFmtId="0" fontId="40" fillId="0" borderId="30" xfId="0" applyFont="1" applyFill="1" applyBorder="1" applyAlignment="1">
      <alignment vertical="center"/>
    </xf>
    <xf numFmtId="0" fontId="38" fillId="0" borderId="3" xfId="0" applyFont="1" applyFill="1" applyBorder="1" applyAlignment="1">
      <alignment vertical="center"/>
    </xf>
    <xf numFmtId="0" fontId="38" fillId="0" borderId="33" xfId="0" applyFont="1" applyFill="1" applyBorder="1" applyAlignment="1">
      <alignment horizontal="right" vertical="center"/>
    </xf>
    <xf numFmtId="0" fontId="40" fillId="0" borderId="30" xfId="0" applyFont="1" applyBorder="1" applyAlignment="1">
      <alignment vertical="center"/>
    </xf>
    <xf numFmtId="0" fontId="38" fillId="0" borderId="3" xfId="0" applyFont="1" applyBorder="1" applyAlignment="1">
      <alignment vertical="center"/>
    </xf>
    <xf numFmtId="1" fontId="38" fillId="0" borderId="0" xfId="0" applyNumberFormat="1" applyFont="1" applyAlignment="1">
      <alignment horizontal="right"/>
    </xf>
    <xf numFmtId="165" fontId="36" fillId="0" borderId="60" xfId="0" applyNumberFormat="1" applyFont="1" applyFill="1" applyBorder="1" applyAlignment="1"/>
    <xf numFmtId="0" fontId="36" fillId="0" borderId="60" xfId="0" applyFont="1" applyFill="1" applyBorder="1" applyAlignment="1"/>
    <xf numFmtId="2" fontId="40" fillId="8" borderId="21" xfId="0" applyNumberFormat="1" applyFont="1" applyFill="1" applyBorder="1" applyAlignment="1"/>
    <xf numFmtId="166" fontId="40" fillId="8" borderId="21" xfId="0" applyNumberFormat="1" applyFont="1" applyFill="1" applyBorder="1" applyAlignment="1"/>
    <xf numFmtId="0" fontId="63" fillId="0" borderId="0" xfId="0" applyFont="1"/>
    <xf numFmtId="0" fontId="5" fillId="0" borderId="0" xfId="0" applyFont="1" applyFill="1" applyBorder="1" applyAlignment="1">
      <alignment vertical="center"/>
    </xf>
    <xf numFmtId="0" fontId="64" fillId="7" borderId="64" xfId="0" applyFont="1" applyFill="1" applyBorder="1" applyAlignment="1" applyProtection="1">
      <alignment horizontal="left" vertical="center"/>
    </xf>
    <xf numFmtId="0" fontId="64" fillId="7" borderId="1" xfId="0" applyFont="1" applyFill="1" applyBorder="1" applyAlignment="1" applyProtection="1">
      <alignment horizontal="left" vertical="center"/>
    </xf>
    <xf numFmtId="0" fontId="63" fillId="0" borderId="0" xfId="0" applyFont="1" applyBorder="1"/>
    <xf numFmtId="0" fontId="5" fillId="0" borderId="0" xfId="0" applyFont="1" applyBorder="1"/>
    <xf numFmtId="0" fontId="7" fillId="0" borderId="0" xfId="0" applyFont="1" applyBorder="1"/>
    <xf numFmtId="0" fontId="9" fillId="0" borderId="0" xfId="0" applyFont="1" applyFill="1" applyBorder="1" applyAlignment="1">
      <alignment vertical="center"/>
    </xf>
    <xf numFmtId="0" fontId="5" fillId="16" borderId="58" xfId="0" applyFont="1" applyFill="1" applyBorder="1" applyAlignment="1" applyProtection="1">
      <alignment vertical="center"/>
    </xf>
    <xf numFmtId="0" fontId="63" fillId="16" borderId="58" xfId="0" applyFont="1" applyFill="1" applyBorder="1"/>
    <xf numFmtId="0" fontId="63" fillId="16" borderId="8" xfId="0" applyFont="1" applyFill="1" applyBorder="1"/>
    <xf numFmtId="0" fontId="63" fillId="16" borderId="60" xfId="0" applyFont="1" applyFill="1" applyBorder="1"/>
    <xf numFmtId="0" fontId="24" fillId="4" borderId="57" xfId="0" applyFont="1" applyFill="1" applyBorder="1" applyAlignment="1" applyProtection="1">
      <alignment vertical="center"/>
    </xf>
    <xf numFmtId="0" fontId="31" fillId="4" borderId="63" xfId="0" applyFont="1" applyFill="1" applyBorder="1" applyAlignment="1" applyProtection="1">
      <alignment vertical="center"/>
    </xf>
    <xf numFmtId="0" fontId="31" fillId="4" borderId="62" xfId="0" applyFont="1" applyFill="1" applyBorder="1" applyAlignment="1" applyProtection="1">
      <alignment vertical="center"/>
    </xf>
    <xf numFmtId="0" fontId="8" fillId="3" borderId="19" xfId="0" applyFont="1" applyFill="1" applyBorder="1"/>
    <xf numFmtId="0" fontId="5" fillId="3" borderId="17" xfId="0" applyFont="1" applyFill="1" applyBorder="1"/>
    <xf numFmtId="0" fontId="5" fillId="3" borderId="18" xfId="0" applyFont="1" applyFill="1" applyBorder="1"/>
    <xf numFmtId="0" fontId="31" fillId="0" borderId="0" xfId="0" applyFont="1" applyFill="1" applyBorder="1" applyAlignment="1" applyProtection="1">
      <alignment vertical="center"/>
    </xf>
    <xf numFmtId="0" fontId="7" fillId="3" borderId="17" xfId="0" applyFont="1" applyFill="1" applyBorder="1"/>
    <xf numFmtId="0" fontId="7" fillId="0" borderId="0" xfId="0" applyFont="1" applyFill="1" applyBorder="1" applyAlignment="1">
      <alignment vertical="center"/>
    </xf>
    <xf numFmtId="0" fontId="65" fillId="0" borderId="0" xfId="0" applyFont="1"/>
    <xf numFmtId="0" fontId="66" fillId="7" borderId="64" xfId="0" applyFont="1" applyFill="1" applyBorder="1" applyAlignment="1" applyProtection="1">
      <alignment horizontal="left" vertical="center"/>
    </xf>
    <xf numFmtId="0" fontId="66" fillId="7" borderId="1" xfId="0" applyFont="1" applyFill="1" applyBorder="1" applyAlignment="1" applyProtection="1">
      <alignment horizontal="left" vertical="center"/>
    </xf>
    <xf numFmtId="0" fontId="7" fillId="4" borderId="63" xfId="0" applyFont="1" applyFill="1" applyBorder="1" applyAlignment="1" applyProtection="1">
      <alignment vertical="center"/>
    </xf>
    <xf numFmtId="0" fontId="65" fillId="0" borderId="0" xfId="0" applyFont="1" applyBorder="1"/>
    <xf numFmtId="0" fontId="67" fillId="7" borderId="64" xfId="0" applyFont="1" applyFill="1" applyBorder="1" applyAlignment="1" applyProtection="1">
      <alignment horizontal="left" vertical="center"/>
    </xf>
    <xf numFmtId="0" fontId="67" fillId="7" borderId="1" xfId="0" applyFont="1" applyFill="1" applyBorder="1" applyAlignment="1" applyProtection="1">
      <alignment horizontal="left" vertical="center"/>
    </xf>
    <xf numFmtId="0" fontId="9" fillId="4" borderId="63" xfId="0" applyFont="1" applyFill="1" applyBorder="1" applyAlignment="1" applyProtection="1">
      <alignment vertical="center"/>
    </xf>
    <xf numFmtId="0" fontId="9" fillId="0" borderId="0" xfId="0" applyFont="1" applyFill="1" applyBorder="1" applyAlignment="1" applyProtection="1">
      <alignment vertical="center"/>
    </xf>
    <xf numFmtId="0" fontId="9" fillId="3" borderId="17" xfId="0" applyFont="1" applyFill="1" applyBorder="1"/>
    <xf numFmtId="0" fontId="9" fillId="0" borderId="0" xfId="0" applyFont="1" applyBorder="1"/>
    <xf numFmtId="0" fontId="68" fillId="0" borderId="0" xfId="0" applyFont="1" applyBorder="1"/>
    <xf numFmtId="0" fontId="68" fillId="0" borderId="0" xfId="0" applyFont="1"/>
    <xf numFmtId="0" fontId="68" fillId="16" borderId="58" xfId="0" applyFont="1" applyFill="1" applyBorder="1" applyAlignment="1">
      <alignment vertical="center"/>
    </xf>
    <xf numFmtId="0" fontId="25" fillId="0" borderId="0" xfId="0" applyFont="1" applyBorder="1" applyAlignment="1">
      <alignment horizontal="left" vertical="center" wrapText="1"/>
    </xf>
    <xf numFmtId="0" fontId="9" fillId="0" borderId="0" xfId="0" applyFont="1" applyBorder="1" applyAlignment="1">
      <alignment horizontal="left" vertical="center" wrapText="1"/>
    </xf>
    <xf numFmtId="0" fontId="68" fillId="0" borderId="0" xfId="0" applyFont="1" applyBorder="1" applyAlignment="1">
      <alignment vertical="center"/>
    </xf>
    <xf numFmtId="0" fontId="68" fillId="0" borderId="0" xfId="0" applyFont="1" applyAlignment="1">
      <alignment vertical="center"/>
    </xf>
    <xf numFmtId="0" fontId="9" fillId="19" borderId="0" xfId="0" applyFont="1" applyFill="1" applyBorder="1" applyAlignment="1">
      <alignment horizontal="left" vertical="center" wrapText="1"/>
    </xf>
    <xf numFmtId="0" fontId="9" fillId="16" borderId="0" xfId="0" applyFont="1" applyFill="1" applyBorder="1" applyAlignment="1">
      <alignment horizontal="left" vertical="center" wrapText="1"/>
    </xf>
    <xf numFmtId="0" fontId="9" fillId="20"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5" fillId="2" borderId="0" xfId="0" applyFont="1" applyFill="1" applyBorder="1"/>
    <xf numFmtId="0" fontId="7" fillId="2" borderId="0" xfId="0" applyFont="1" applyFill="1" applyBorder="1"/>
    <xf numFmtId="0" fontId="25" fillId="0" borderId="0" xfId="0" applyFont="1" applyBorder="1" applyAlignment="1" applyProtection="1"/>
    <xf numFmtId="0" fontId="43" fillId="0" borderId="0" xfId="0" applyFont="1" applyFill="1" applyBorder="1" applyAlignment="1">
      <alignment horizontal="right" vertical="center"/>
    </xf>
    <xf numFmtId="0" fontId="43" fillId="0" borderId="1" xfId="0" applyFont="1" applyFill="1" applyBorder="1" applyAlignment="1">
      <alignment horizontal="right" vertical="center"/>
    </xf>
    <xf numFmtId="0" fontId="43" fillId="0" borderId="10" xfId="0" applyFont="1" applyFill="1" applyBorder="1" applyAlignment="1">
      <alignment horizontal="right" vertical="center"/>
    </xf>
    <xf numFmtId="0" fontId="39" fillId="8" borderId="63" xfId="0" applyFont="1" applyFill="1" applyBorder="1" applyAlignment="1">
      <alignment horizontal="right" vertical="center"/>
    </xf>
    <xf numFmtId="0" fontId="39" fillId="8" borderId="62" xfId="0" applyFont="1" applyFill="1" applyBorder="1" applyAlignment="1">
      <alignment horizontal="right" vertical="center"/>
    </xf>
    <xf numFmtId="165" fontId="38" fillId="0" borderId="53" xfId="0" applyNumberFormat="1" applyFont="1" applyFill="1" applyBorder="1" applyAlignment="1">
      <alignment horizontal="right" vertical="center"/>
    </xf>
    <xf numFmtId="165" fontId="38" fillId="0" borderId="64" xfId="0" applyNumberFormat="1" applyFont="1" applyFill="1" applyBorder="1" applyAlignment="1">
      <alignment horizontal="right" vertical="center"/>
    </xf>
    <xf numFmtId="165" fontId="38" fillId="0" borderId="54" xfId="0" applyNumberFormat="1" applyFont="1" applyFill="1" applyBorder="1" applyAlignment="1">
      <alignment horizontal="right" vertical="center"/>
    </xf>
    <xf numFmtId="165" fontId="38" fillId="0" borderId="60" xfId="0" applyNumberFormat="1" applyFont="1" applyFill="1" applyBorder="1" applyAlignment="1">
      <alignment horizontal="right" vertical="center"/>
    </xf>
    <xf numFmtId="165" fontId="38" fillId="0" borderId="0" xfId="0" applyNumberFormat="1" applyFont="1" applyFill="1" applyBorder="1" applyAlignment="1">
      <alignment horizontal="right" vertical="center"/>
    </xf>
    <xf numFmtId="165" fontId="38" fillId="0" borderId="6" xfId="0" applyNumberFormat="1" applyFont="1" applyFill="1" applyBorder="1" applyAlignment="1">
      <alignment horizontal="right" vertical="center"/>
    </xf>
    <xf numFmtId="165" fontId="38" fillId="0" borderId="12" xfId="0" applyNumberFormat="1" applyFont="1" applyFill="1" applyBorder="1" applyAlignment="1">
      <alignment horizontal="right" vertical="center"/>
    </xf>
    <xf numFmtId="165" fontId="38" fillId="0" borderId="1" xfId="0" applyNumberFormat="1" applyFont="1" applyFill="1" applyBorder="1" applyAlignment="1">
      <alignment horizontal="right" vertical="center"/>
    </xf>
    <xf numFmtId="165" fontId="38" fillId="0" borderId="10" xfId="0" applyNumberFormat="1" applyFont="1" applyFill="1" applyBorder="1" applyAlignment="1">
      <alignment horizontal="right" vertical="center"/>
    </xf>
    <xf numFmtId="0" fontId="38" fillId="0" borderId="64" xfId="0" applyFont="1" applyFill="1" applyBorder="1" applyAlignment="1">
      <alignment horizontal="right" vertical="center"/>
    </xf>
    <xf numFmtId="0" fontId="39" fillId="8" borderId="60" xfId="0" applyFont="1" applyFill="1" applyBorder="1" applyAlignment="1">
      <alignment vertical="center"/>
    </xf>
    <xf numFmtId="0" fontId="39" fillId="8" borderId="12" xfId="0" applyFont="1" applyFill="1" applyBorder="1" applyAlignment="1">
      <alignment vertical="center"/>
    </xf>
    <xf numFmtId="0" fontId="39" fillId="8" borderId="54" xfId="0" applyFont="1" applyFill="1" applyBorder="1" applyAlignment="1">
      <alignment vertical="center"/>
    </xf>
    <xf numFmtId="0" fontId="38" fillId="0" borderId="0" xfId="0" applyFont="1" applyFill="1" applyBorder="1" applyAlignment="1">
      <alignment horizontal="right" vertical="center"/>
    </xf>
    <xf numFmtId="0" fontId="38" fillId="0" borderId="53" xfId="0" applyFont="1" applyFill="1" applyBorder="1" applyAlignment="1">
      <alignment horizontal="right" vertical="center"/>
    </xf>
    <xf numFmtId="0" fontId="38" fillId="0" borderId="54" xfId="0" applyFont="1" applyFill="1" applyBorder="1" applyAlignment="1">
      <alignment horizontal="right" vertical="center"/>
    </xf>
    <xf numFmtId="0" fontId="38" fillId="0" borderId="6" xfId="0" applyFont="1" applyFill="1" applyBorder="1" applyAlignment="1">
      <alignment horizontal="right" vertical="center"/>
    </xf>
    <xf numFmtId="0" fontId="38" fillId="0" borderId="1" xfId="0" applyFont="1" applyFill="1" applyBorder="1" applyAlignment="1">
      <alignment horizontal="right" vertical="center"/>
    </xf>
    <xf numFmtId="0" fontId="38" fillId="0" borderId="10" xfId="0" applyFont="1" applyFill="1" applyBorder="1" applyAlignment="1">
      <alignment horizontal="right" vertical="center"/>
    </xf>
    <xf numFmtId="0" fontId="44" fillId="0" borderId="6" xfId="0" applyFont="1" applyBorder="1" applyAlignment="1"/>
    <xf numFmtId="0" fontId="43" fillId="0" borderId="0" xfId="3" applyFont="1" applyFill="1" applyBorder="1"/>
    <xf numFmtId="0" fontId="9" fillId="0" borderId="0" xfId="0" applyFont="1" applyBorder="1" applyAlignment="1">
      <alignment vertical="center"/>
    </xf>
    <xf numFmtId="0" fontId="5" fillId="2" borderId="0" xfId="0" applyFont="1" applyFill="1" applyBorder="1" applyAlignment="1">
      <alignment vertical="center"/>
    </xf>
    <xf numFmtId="0" fontId="35" fillId="0" borderId="6" xfId="0" applyFont="1" applyFill="1" applyBorder="1" applyAlignment="1">
      <alignment horizontal="right" vertical="center"/>
    </xf>
    <xf numFmtId="0" fontId="35" fillId="0" borderId="10" xfId="0" applyFont="1" applyFill="1" applyBorder="1" applyAlignment="1">
      <alignment horizontal="right" vertical="center"/>
    </xf>
    <xf numFmtId="0" fontId="39" fillId="0" borderId="64" xfId="0" applyFont="1" applyFill="1" applyBorder="1" applyAlignment="1">
      <alignment horizontal="center" vertical="center"/>
    </xf>
    <xf numFmtId="165" fontId="39" fillId="8" borderId="53" xfId="0" applyNumberFormat="1" applyFont="1" applyFill="1" applyBorder="1" applyAlignment="1">
      <alignment vertical="center"/>
    </xf>
    <xf numFmtId="165" fontId="39" fillId="8" borderId="64" xfId="0" applyNumberFormat="1" applyFont="1" applyFill="1" applyBorder="1" applyAlignment="1">
      <alignment vertical="center"/>
    </xf>
    <xf numFmtId="165" fontId="39" fillId="8" borderId="54" xfId="0" applyNumberFormat="1" applyFont="1" applyFill="1" applyBorder="1" applyAlignment="1">
      <alignment vertical="center"/>
    </xf>
    <xf numFmtId="1" fontId="43" fillId="0" borderId="60" xfId="0" applyNumberFormat="1" applyFont="1" applyFill="1" applyBorder="1" applyAlignment="1">
      <alignment horizontal="right" vertical="center"/>
    </xf>
    <xf numFmtId="1" fontId="43" fillId="0" borderId="12" xfId="0" applyNumberFormat="1" applyFont="1" applyFill="1" applyBorder="1" applyAlignment="1">
      <alignment horizontal="right" vertical="center"/>
    </xf>
    <xf numFmtId="1" fontId="43" fillId="0" borderId="6" xfId="0" applyNumberFormat="1" applyFont="1" applyFill="1" applyBorder="1" applyAlignment="1">
      <alignment horizontal="right" vertical="center"/>
    </xf>
    <xf numFmtId="1" fontId="43" fillId="0" borderId="10" xfId="0" applyNumberFormat="1" applyFont="1" applyFill="1" applyBorder="1" applyAlignment="1">
      <alignment horizontal="right" vertical="center"/>
    </xf>
    <xf numFmtId="0" fontId="39" fillId="8" borderId="58" xfId="0" applyFont="1" applyFill="1" applyBorder="1" applyAlignment="1">
      <alignment vertical="center"/>
    </xf>
    <xf numFmtId="0" fontId="37" fillId="0" borderId="0" xfId="0" applyFont="1" applyFill="1" applyBorder="1" applyAlignment="1">
      <alignment vertical="center"/>
    </xf>
    <xf numFmtId="1" fontId="35" fillId="0" borderId="6" xfId="0" applyNumberFormat="1" applyFont="1" applyFill="1" applyBorder="1" applyAlignment="1">
      <alignment horizontal="center" vertical="center"/>
    </xf>
    <xf numFmtId="1" fontId="35" fillId="0" borderId="0" xfId="1" applyNumberFormat="1" applyFont="1" applyFill="1" applyBorder="1" applyAlignment="1">
      <alignment horizontal="center" vertical="center"/>
    </xf>
    <xf numFmtId="1" fontId="35" fillId="0" borderId="6" xfId="1" applyNumberFormat="1" applyFont="1" applyFill="1" applyBorder="1" applyAlignment="1">
      <alignment horizontal="center" vertical="center"/>
    </xf>
    <xf numFmtId="0" fontId="36" fillId="8" borderId="58" xfId="0" applyFont="1" applyFill="1" applyBorder="1" applyAlignment="1">
      <alignment vertical="center"/>
    </xf>
    <xf numFmtId="0" fontId="37" fillId="9" borderId="58" xfId="0" applyFont="1" applyFill="1" applyBorder="1" applyAlignment="1">
      <alignment vertical="center"/>
    </xf>
    <xf numFmtId="0" fontId="36" fillId="3" borderId="52" xfId="0" applyFont="1" applyFill="1" applyBorder="1" applyAlignment="1">
      <alignment vertical="center"/>
    </xf>
    <xf numFmtId="0" fontId="36" fillId="8" borderId="58" xfId="0" applyFont="1" applyFill="1" applyBorder="1" applyAlignment="1">
      <alignment horizontal="left" vertical="center"/>
    </xf>
    <xf numFmtId="0" fontId="35" fillId="0" borderId="60" xfId="0" applyFont="1" applyFill="1" applyBorder="1" applyAlignment="1">
      <alignment vertical="center"/>
    </xf>
    <xf numFmtId="0" fontId="43" fillId="0" borderId="1" xfId="0" applyFont="1" applyFill="1" applyBorder="1"/>
    <xf numFmtId="0" fontId="39" fillId="0" borderId="12" xfId="0" applyFont="1" applyFill="1" applyBorder="1"/>
    <xf numFmtId="0" fontId="39" fillId="0" borderId="1" xfId="0" applyFont="1" applyFill="1" applyBorder="1"/>
    <xf numFmtId="167" fontId="43" fillId="0" borderId="1" xfId="0" applyNumberFormat="1" applyFont="1" applyFill="1" applyBorder="1"/>
    <xf numFmtId="0" fontId="35" fillId="8" borderId="63" xfId="0" applyFont="1" applyFill="1" applyBorder="1" applyAlignment="1">
      <alignment vertical="center"/>
    </xf>
    <xf numFmtId="0" fontId="43" fillId="8" borderId="60" xfId="0" applyFont="1" applyFill="1" applyBorder="1"/>
    <xf numFmtId="0" fontId="35" fillId="8" borderId="0" xfId="0" applyFont="1" applyFill="1" applyAlignment="1">
      <alignment vertical="center"/>
    </xf>
    <xf numFmtId="0" fontId="43" fillId="8" borderId="0" xfId="0" applyFont="1" applyFill="1" applyBorder="1"/>
    <xf numFmtId="0" fontId="43" fillId="8" borderId="6" xfId="0" applyFont="1" applyFill="1" applyBorder="1"/>
    <xf numFmtId="0" fontId="39" fillId="8" borderId="60" xfId="0" applyFont="1" applyFill="1" applyBorder="1"/>
    <xf numFmtId="0" fontId="39" fillId="8" borderId="0" xfId="0" applyFont="1" applyFill="1" applyBorder="1"/>
    <xf numFmtId="0" fontId="39" fillId="8" borderId="6" xfId="0" applyFont="1" applyFill="1" applyBorder="1"/>
    <xf numFmtId="0" fontId="35" fillId="0" borderId="53" xfId="0" applyFont="1" applyBorder="1" applyAlignment="1">
      <alignment vertical="center"/>
    </xf>
    <xf numFmtId="0" fontId="69" fillId="0" borderId="0" xfId="0" applyFont="1" applyBorder="1" applyAlignment="1">
      <alignment vertical="center"/>
    </xf>
    <xf numFmtId="1" fontId="43" fillId="2" borderId="53" xfId="0" applyNumberFormat="1" applyFont="1" applyFill="1" applyBorder="1" applyAlignment="1">
      <alignment horizontal="right" vertical="center"/>
    </xf>
    <xf numFmtId="1" fontId="43" fillId="2" borderId="64" xfId="0" applyNumberFormat="1" applyFont="1" applyFill="1" applyBorder="1" applyAlignment="1">
      <alignment horizontal="right" vertical="center"/>
    </xf>
    <xf numFmtId="1" fontId="43" fillId="2" borderId="64" xfId="0" applyNumberFormat="1" applyFont="1" applyFill="1" applyBorder="1" applyAlignment="1">
      <alignment vertical="center"/>
    </xf>
    <xf numFmtId="1" fontId="43" fillId="2" borderId="54" xfId="0" applyNumberFormat="1" applyFont="1" applyFill="1" applyBorder="1" applyAlignment="1">
      <alignment vertical="center"/>
    </xf>
    <xf numFmtId="1" fontId="43" fillId="2" borderId="60" xfId="0" applyNumberFormat="1" applyFont="1" applyFill="1" applyBorder="1" applyAlignment="1">
      <alignment horizontal="right" vertical="center"/>
    </xf>
    <xf numFmtId="1" fontId="43" fillId="2" borderId="0" xfId="0" applyNumberFormat="1" applyFont="1" applyFill="1" applyBorder="1" applyAlignment="1">
      <alignment horizontal="right" vertical="center"/>
    </xf>
    <xf numFmtId="1" fontId="43" fillId="2" borderId="0" xfId="0" applyNumberFormat="1" applyFont="1" applyFill="1" applyBorder="1" applyAlignment="1">
      <alignment vertical="center"/>
    </xf>
    <xf numFmtId="1" fontId="43" fillId="2" borderId="6" xfId="0" applyNumberFormat="1" applyFont="1" applyFill="1" applyBorder="1" applyAlignment="1">
      <alignment vertical="center"/>
    </xf>
    <xf numFmtId="1" fontId="43" fillId="2" borderId="12" xfId="0" applyNumberFormat="1" applyFont="1" applyFill="1" applyBorder="1" applyAlignment="1">
      <alignment horizontal="right" vertical="center"/>
    </xf>
    <xf numFmtId="1" fontId="43" fillId="2" borderId="1" xfId="0" applyNumberFormat="1" applyFont="1" applyFill="1" applyBorder="1" applyAlignment="1">
      <alignment horizontal="right" vertical="center"/>
    </xf>
    <xf numFmtId="1" fontId="43" fillId="2" borderId="1" xfId="0" applyNumberFormat="1" applyFont="1" applyFill="1" applyBorder="1" applyAlignment="1">
      <alignment vertical="center"/>
    </xf>
    <xf numFmtId="1" fontId="43" fillId="2" borderId="10" xfId="0" applyNumberFormat="1" applyFont="1" applyFill="1" applyBorder="1" applyAlignment="1">
      <alignment vertical="center"/>
    </xf>
    <xf numFmtId="165" fontId="43" fillId="0" borderId="13" xfId="0" applyNumberFormat="1" applyFont="1" applyFill="1" applyBorder="1" applyAlignment="1">
      <alignment horizontal="center" vertical="center"/>
    </xf>
    <xf numFmtId="0" fontId="39" fillId="0" borderId="56" xfId="0" applyFont="1" applyFill="1" applyBorder="1" applyAlignment="1">
      <alignment horizontal="center" vertical="center"/>
    </xf>
    <xf numFmtId="0" fontId="36" fillId="0" borderId="18" xfId="0" applyFont="1" applyFill="1" applyBorder="1" applyAlignment="1">
      <alignment horizontal="center" vertical="center"/>
    </xf>
    <xf numFmtId="0" fontId="35" fillId="0" borderId="55" xfId="0" applyFont="1" applyBorder="1"/>
    <xf numFmtId="0" fontId="35" fillId="0" borderId="62" xfId="0" applyFont="1" applyBorder="1"/>
    <xf numFmtId="0" fontId="35" fillId="0" borderId="64" xfId="0" applyFont="1" applyBorder="1" applyAlignment="1">
      <alignment vertical="center"/>
    </xf>
    <xf numFmtId="0" fontId="35" fillId="0" borderId="54" xfId="0" applyFont="1" applyBorder="1" applyAlignment="1">
      <alignment vertical="center"/>
    </xf>
    <xf numFmtId="0" fontId="35" fillId="0" borderId="12" xfId="0" applyFont="1" applyBorder="1" applyAlignment="1">
      <alignment vertical="center"/>
    </xf>
    <xf numFmtId="0" fontId="35" fillId="0" borderId="52" xfId="0" applyFont="1" applyBorder="1" applyAlignment="1">
      <alignment vertical="center"/>
    </xf>
    <xf numFmtId="0" fontId="35" fillId="0" borderId="55" xfId="0" applyFont="1" applyBorder="1" applyAlignment="1">
      <alignment vertical="center"/>
    </xf>
    <xf numFmtId="165" fontId="35" fillId="0" borderId="54" xfId="0" applyNumberFormat="1" applyFont="1" applyBorder="1" applyAlignment="1">
      <alignment vertical="center"/>
    </xf>
    <xf numFmtId="0" fontId="35" fillId="0" borderId="74" xfId="0" applyFont="1" applyBorder="1" applyAlignment="1">
      <alignment vertical="center"/>
    </xf>
    <xf numFmtId="0" fontId="36" fillId="0" borderId="0" xfId="0" applyFont="1" applyAlignment="1">
      <alignment vertical="center"/>
    </xf>
    <xf numFmtId="165" fontId="43" fillId="0" borderId="0" xfId="0" applyNumberFormat="1" applyFont="1" applyFill="1" applyBorder="1" applyAlignment="1">
      <alignment horizontal="center"/>
    </xf>
    <xf numFmtId="0" fontId="38" fillId="0" borderId="52" xfId="0" applyFont="1" applyFill="1" applyBorder="1" applyAlignment="1">
      <alignment horizontal="center" vertical="center"/>
    </xf>
    <xf numFmtId="0" fontId="39" fillId="0" borderId="75" xfId="0" applyFont="1" applyFill="1" applyBorder="1" applyAlignment="1">
      <alignment horizontal="center" vertical="center"/>
    </xf>
    <xf numFmtId="0" fontId="40" fillId="0" borderId="55" xfId="0" applyFont="1" applyFill="1" applyBorder="1" applyAlignment="1">
      <alignment horizontal="center" vertical="center"/>
    </xf>
    <xf numFmtId="1" fontId="40" fillId="0" borderId="55" xfId="0" applyNumberFormat="1" applyFont="1" applyFill="1" applyBorder="1" applyAlignment="1">
      <alignment horizontal="center" vertical="center"/>
    </xf>
    <xf numFmtId="1" fontId="40" fillId="0" borderId="55" xfId="0" applyNumberFormat="1" applyFont="1" applyBorder="1" applyAlignment="1">
      <alignment horizontal="center" vertical="center"/>
    </xf>
    <xf numFmtId="1" fontId="40" fillId="0" borderId="60" xfId="0" applyNumberFormat="1" applyFont="1" applyBorder="1" applyAlignment="1">
      <alignment horizontal="center" vertical="center"/>
    </xf>
    <xf numFmtId="0" fontId="35" fillId="0" borderId="24" xfId="0" applyFont="1" applyBorder="1" applyAlignment="1">
      <alignment vertical="center"/>
    </xf>
    <xf numFmtId="0" fontId="35" fillId="0" borderId="25" xfId="0" applyFont="1" applyFill="1" applyBorder="1" applyAlignment="1">
      <alignment vertical="center"/>
    </xf>
    <xf numFmtId="0" fontId="35" fillId="0" borderId="20" xfId="0" applyFont="1" applyFill="1" applyBorder="1" applyAlignment="1">
      <alignment vertical="center"/>
    </xf>
    <xf numFmtId="165" fontId="7" fillId="0" borderId="0" xfId="0" applyNumberFormat="1" applyFont="1" applyBorder="1" applyAlignment="1" applyProtection="1">
      <alignment horizontal="center" vertical="center"/>
    </xf>
    <xf numFmtId="166" fontId="5" fillId="0" borderId="0" xfId="0" applyNumberFormat="1" applyFont="1" applyAlignment="1" applyProtection="1">
      <alignment horizontal="left" vertical="center"/>
    </xf>
    <xf numFmtId="0" fontId="37" fillId="5" borderId="19" xfId="0" applyFont="1" applyFill="1" applyBorder="1" applyAlignment="1">
      <alignment vertical="center"/>
    </xf>
    <xf numFmtId="0" fontId="58" fillId="5" borderId="17" xfId="0" applyFont="1" applyFill="1" applyBorder="1" applyAlignment="1">
      <alignment vertical="center"/>
    </xf>
    <xf numFmtId="0" fontId="58" fillId="5" borderId="18" xfId="0" applyFont="1" applyFill="1" applyBorder="1" applyAlignment="1">
      <alignment vertical="center"/>
    </xf>
    <xf numFmtId="0" fontId="58" fillId="0" borderId="0" xfId="0" applyFont="1" applyBorder="1"/>
    <xf numFmtId="0" fontId="58" fillId="0" borderId="6" xfId="0" applyFont="1" applyBorder="1"/>
    <xf numFmtId="0" fontId="58" fillId="0" borderId="0" xfId="0" applyFont="1" applyBorder="1" applyAlignment="1">
      <alignment vertical="center"/>
    </xf>
    <xf numFmtId="1" fontId="43" fillId="0" borderId="54" xfId="0" applyNumberFormat="1" applyFont="1" applyFill="1" applyBorder="1" applyAlignment="1">
      <alignment horizontal="right" vertical="center"/>
    </xf>
    <xf numFmtId="1" fontId="52" fillId="0" borderId="60" xfId="0" applyNumberFormat="1" applyFont="1" applyBorder="1" applyAlignment="1">
      <alignment horizontal="right" vertical="center"/>
    </xf>
    <xf numFmtId="1" fontId="52" fillId="0" borderId="0" xfId="0" applyNumberFormat="1" applyFont="1" applyBorder="1" applyAlignment="1">
      <alignment horizontal="right" vertical="center"/>
    </xf>
    <xf numFmtId="1" fontId="52" fillId="0" borderId="6" xfId="0" applyNumberFormat="1" applyFont="1" applyBorder="1" applyAlignment="1">
      <alignment horizontal="right" vertical="center"/>
    </xf>
    <xf numFmtId="1" fontId="52" fillId="0" borderId="12" xfId="0" applyNumberFormat="1" applyFont="1" applyBorder="1" applyAlignment="1">
      <alignment horizontal="right" vertical="center"/>
    </xf>
    <xf numFmtId="1" fontId="52" fillId="0" borderId="1" xfId="0" applyNumberFormat="1" applyFont="1" applyBorder="1" applyAlignment="1">
      <alignment horizontal="right" vertical="center"/>
    </xf>
    <xf numFmtId="1" fontId="52" fillId="0" borderId="10" xfId="0" applyNumberFormat="1" applyFont="1" applyBorder="1" applyAlignment="1">
      <alignment horizontal="right" vertical="center"/>
    </xf>
    <xf numFmtId="0" fontId="58" fillId="0" borderId="53" xfId="0" applyFont="1" applyBorder="1" applyAlignment="1">
      <alignment horizontal="center"/>
    </xf>
    <xf numFmtId="0" fontId="58" fillId="0" borderId="64" xfId="0" applyFont="1" applyBorder="1" applyAlignment="1">
      <alignment horizontal="center"/>
    </xf>
    <xf numFmtId="165" fontId="37" fillId="0" borderId="64" xfId="0" applyNumberFormat="1" applyFont="1" applyBorder="1" applyAlignment="1">
      <alignment horizontal="center"/>
    </xf>
    <xf numFmtId="0" fontId="58" fillId="0" borderId="54" xfId="0" applyFont="1" applyBorder="1" applyAlignment="1">
      <alignment horizontal="center"/>
    </xf>
    <xf numFmtId="0" fontId="58" fillId="0" borderId="60" xfId="0" applyFont="1" applyBorder="1" applyAlignment="1">
      <alignment horizontal="center"/>
    </xf>
    <xf numFmtId="0" fontId="37" fillId="0" borderId="0" xfId="0" applyFont="1" applyFill="1" applyBorder="1" applyAlignment="1">
      <alignment horizontal="center"/>
    </xf>
    <xf numFmtId="0" fontId="58" fillId="0" borderId="0" xfId="0" applyFont="1" applyBorder="1" applyAlignment="1">
      <alignment horizontal="center"/>
    </xf>
    <xf numFmtId="165" fontId="37" fillId="0" borderId="0" xfId="0" applyNumberFormat="1" applyFont="1" applyBorder="1" applyAlignment="1">
      <alignment horizontal="center"/>
    </xf>
    <xf numFmtId="0" fontId="58" fillId="0" borderId="6" xfId="0" applyFont="1" applyBorder="1" applyAlignment="1">
      <alignment horizontal="center"/>
    </xf>
    <xf numFmtId="165" fontId="43" fillId="0" borderId="60" xfId="0" applyNumberFormat="1" applyFont="1" applyFill="1" applyBorder="1" applyAlignment="1">
      <alignment horizontal="center" vertical="center"/>
    </xf>
    <xf numFmtId="0" fontId="58" fillId="0" borderId="12" xfId="0" applyFont="1" applyBorder="1" applyAlignment="1">
      <alignment vertical="center"/>
    </xf>
    <xf numFmtId="0" fontId="58" fillId="0" borderId="1" xfId="0" applyFont="1" applyBorder="1" applyAlignment="1">
      <alignment vertical="center"/>
    </xf>
    <xf numFmtId="0" fontId="58" fillId="0" borderId="10" xfId="0" applyFont="1" applyBorder="1" applyAlignment="1">
      <alignment vertical="center"/>
    </xf>
    <xf numFmtId="0" fontId="37" fillId="0" borderId="0" xfId="0" applyFont="1" applyFill="1" applyBorder="1"/>
    <xf numFmtId="165" fontId="37" fillId="0" borderId="0" xfId="0" applyNumberFormat="1" applyFont="1" applyBorder="1"/>
    <xf numFmtId="0" fontId="58" fillId="0" borderId="57" xfId="0" applyFont="1" applyBorder="1" applyAlignment="1">
      <alignment vertical="center"/>
    </xf>
    <xf numFmtId="0" fontId="58" fillId="0" borderId="63" xfId="0" applyFont="1" applyBorder="1"/>
    <xf numFmtId="0" fontId="58" fillId="0" borderId="62" xfId="0" applyFont="1" applyFill="1" applyBorder="1"/>
    <xf numFmtId="0" fontId="58" fillId="0" borderId="63" xfId="0" applyFont="1" applyBorder="1" applyAlignment="1">
      <alignment horizontal="center"/>
    </xf>
    <xf numFmtId="0" fontId="58" fillId="0" borderId="62" xfId="0" applyFont="1" applyBorder="1" applyAlignment="1">
      <alignment horizontal="center"/>
    </xf>
    <xf numFmtId="0" fontId="58" fillId="0" borderId="60" xfId="0" applyFont="1" applyBorder="1" applyAlignment="1">
      <alignment horizontal="right"/>
    </xf>
    <xf numFmtId="0" fontId="58" fillId="0" borderId="0" xfId="0" applyFont="1" applyBorder="1" applyAlignment="1">
      <alignment horizontal="left"/>
    </xf>
    <xf numFmtId="0" fontId="58" fillId="0" borderId="6" xfId="0" applyFont="1" applyFill="1" applyBorder="1"/>
    <xf numFmtId="0" fontId="58" fillId="0" borderId="12" xfId="0" applyFont="1" applyBorder="1"/>
    <xf numFmtId="0" fontId="58" fillId="0" borderId="1" xfId="0" applyFont="1" applyBorder="1"/>
    <xf numFmtId="0" fontId="58" fillId="0" borderId="10" xfId="0" applyFont="1" applyBorder="1"/>
    <xf numFmtId="0" fontId="58" fillId="0" borderId="1" xfId="0" applyFont="1" applyBorder="1" applyAlignment="1">
      <alignment horizontal="center"/>
    </xf>
    <xf numFmtId="0" fontId="58" fillId="0" borderId="10" xfId="0" applyFont="1" applyBorder="1" applyAlignment="1">
      <alignment horizontal="center"/>
    </xf>
    <xf numFmtId="1" fontId="7"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64" xfId="0" applyFont="1" applyFill="1" applyBorder="1" applyAlignment="1" applyProtection="1">
      <alignment vertical="center"/>
    </xf>
    <xf numFmtId="0" fontId="70" fillId="0" borderId="21" xfId="0" applyFont="1" applyFill="1" applyBorder="1" applyAlignment="1" applyProtection="1">
      <alignment horizontal="center" vertical="center"/>
      <protection locked="0"/>
    </xf>
    <xf numFmtId="0" fontId="70" fillId="0" borderId="60" xfId="0" applyFont="1" applyFill="1" applyBorder="1" applyAlignment="1" applyProtection="1">
      <alignment horizontal="right" vertical="center"/>
    </xf>
    <xf numFmtId="0" fontId="26" fillId="0" borderId="0" xfId="0" applyFont="1" applyFill="1" applyBorder="1" applyAlignment="1" applyProtection="1">
      <alignment vertical="center"/>
    </xf>
    <xf numFmtId="0" fontId="31" fillId="3" borderId="46" xfId="0" applyFont="1" applyFill="1" applyBorder="1" applyAlignment="1" applyProtection="1">
      <alignment vertical="center"/>
    </xf>
    <xf numFmtId="0" fontId="70" fillId="0" borderId="39" xfId="0" applyFont="1" applyFill="1" applyBorder="1" applyAlignment="1" applyProtection="1">
      <alignment horizontal="center" vertical="center"/>
      <protection locked="0"/>
    </xf>
    <xf numFmtId="0" fontId="31" fillId="3" borderId="63" xfId="0" applyFont="1" applyFill="1" applyBorder="1" applyAlignment="1" applyProtection="1">
      <alignment vertical="center"/>
    </xf>
    <xf numFmtId="1" fontId="7" fillId="0" borderId="0" xfId="0" applyNumberFormat="1" applyFont="1" applyBorder="1" applyAlignment="1" applyProtection="1">
      <alignment horizontal="left" vertical="center"/>
    </xf>
    <xf numFmtId="0" fontId="31" fillId="3" borderId="49" xfId="0" applyFont="1" applyFill="1" applyBorder="1" applyAlignment="1" applyProtection="1">
      <alignment vertical="center"/>
    </xf>
    <xf numFmtId="0" fontId="70" fillId="0" borderId="40" xfId="0" applyFont="1" applyFill="1" applyBorder="1" applyAlignment="1" applyProtection="1">
      <alignment horizontal="center" vertical="center"/>
    </xf>
    <xf numFmtId="0" fontId="31" fillId="4" borderId="49" xfId="0" applyFont="1" applyFill="1" applyBorder="1" applyAlignment="1" applyProtection="1">
      <alignment vertical="center"/>
    </xf>
    <xf numFmtId="0" fontId="5" fillId="6" borderId="58" xfId="0" applyFont="1" applyFill="1" applyBorder="1" applyAlignment="1" applyProtection="1">
      <alignment horizontal="left" vertical="center"/>
    </xf>
    <xf numFmtId="0" fontId="18" fillId="0" borderId="6" xfId="0" applyFont="1" applyBorder="1" applyAlignment="1" applyProtection="1">
      <alignment horizontal="center" vertical="center"/>
    </xf>
    <xf numFmtId="0" fontId="5" fillId="0" borderId="55" xfId="0" applyFont="1" applyFill="1" applyBorder="1" applyAlignment="1" applyProtection="1"/>
    <xf numFmtId="0" fontId="5" fillId="0" borderId="53" xfId="0" applyFont="1" applyFill="1" applyBorder="1" applyAlignment="1" applyProtection="1"/>
    <xf numFmtId="0" fontId="5" fillId="0" borderId="64" xfId="0" applyFont="1" applyBorder="1" applyAlignment="1" applyProtection="1">
      <alignment horizontal="center"/>
    </xf>
    <xf numFmtId="0" fontId="8" fillId="0" borderId="0" xfId="0" applyFont="1" applyFill="1" applyBorder="1" applyAlignment="1" applyProtection="1">
      <alignment horizontal="left"/>
    </xf>
    <xf numFmtId="0" fontId="8" fillId="0" borderId="12" xfId="0" applyFont="1" applyBorder="1" applyAlignment="1" applyProtection="1">
      <alignment horizontal="center"/>
    </xf>
    <xf numFmtId="0" fontId="10" fillId="0" borderId="52"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165" fontId="7" fillId="0" borderId="64" xfId="0" applyNumberFormat="1" applyFont="1" applyFill="1" applyBorder="1" applyAlignment="1" applyProtection="1">
      <alignment horizontal="center" vertical="center"/>
    </xf>
    <xf numFmtId="0" fontId="5" fillId="0" borderId="64" xfId="0" quotePrefix="1" applyFont="1" applyFill="1" applyBorder="1" applyAlignment="1" applyProtection="1">
      <alignment vertical="center"/>
    </xf>
    <xf numFmtId="0" fontId="5" fillId="0" borderId="54" xfId="0" applyFont="1" applyFill="1" applyBorder="1" applyAlignment="1" applyProtection="1">
      <alignment vertical="center"/>
    </xf>
    <xf numFmtId="0" fontId="7" fillId="0" borderId="6" xfId="0" applyFont="1" applyBorder="1" applyAlignment="1" applyProtection="1">
      <alignment vertical="center"/>
    </xf>
    <xf numFmtId="0" fontId="5" fillId="0" borderId="54" xfId="0" applyFont="1" applyFill="1" applyBorder="1" applyAlignment="1" applyProtection="1">
      <alignment horizontal="center" vertical="center"/>
    </xf>
    <xf numFmtId="2" fontId="10" fillId="0" borderId="52" xfId="0" applyNumberFormat="1" applyFont="1" applyFill="1" applyBorder="1" applyAlignment="1" applyProtection="1">
      <alignment horizontal="center" vertical="center"/>
      <protection locked="0"/>
    </xf>
    <xf numFmtId="2" fontId="14" fillId="0" borderId="0" xfId="0" applyNumberFormat="1" applyFont="1" applyFill="1" applyBorder="1" applyAlignment="1" applyProtection="1">
      <alignment horizontal="right" vertical="center"/>
    </xf>
    <xf numFmtId="0" fontId="5" fillId="0" borderId="55" xfId="0" applyFont="1" applyBorder="1" applyAlignment="1" applyProtection="1"/>
    <xf numFmtId="0" fontId="5" fillId="0" borderId="0" xfId="0" applyFont="1"/>
    <xf numFmtId="0" fontId="5" fillId="0" borderId="58" xfId="0" applyFont="1" applyBorder="1"/>
    <xf numFmtId="0" fontId="5" fillId="0" borderId="60" xfId="0" applyFont="1" applyBorder="1"/>
    <xf numFmtId="0" fontId="5" fillId="0" borderId="6" xfId="0" applyFont="1" applyBorder="1"/>
    <xf numFmtId="0" fontId="5" fillId="0" borderId="58" xfId="0" quotePrefix="1" applyFont="1" applyBorder="1" applyAlignment="1" applyProtection="1"/>
    <xf numFmtId="0" fontId="5" fillId="0" borderId="8" xfId="0" quotePrefix="1" applyFont="1" applyBorder="1" applyAlignment="1" applyProtection="1"/>
    <xf numFmtId="0" fontId="8" fillId="0" borderId="57" xfId="0" applyFont="1" applyBorder="1"/>
    <xf numFmtId="0" fontId="5" fillId="0" borderId="62" xfId="0" applyFont="1" applyBorder="1" applyAlignment="1" applyProtection="1"/>
    <xf numFmtId="0" fontId="50" fillId="15" borderId="11" xfId="0" applyFont="1" applyFill="1" applyBorder="1" applyAlignment="1" applyProtection="1">
      <alignment vertical="center"/>
    </xf>
    <xf numFmtId="0" fontId="50" fillId="0" borderId="60" xfId="0" applyFont="1" applyBorder="1" applyAlignment="1" applyProtection="1">
      <alignment horizontal="center" vertical="center"/>
    </xf>
    <xf numFmtId="0" fontId="71" fillId="0" borderId="0" xfId="0" applyFont="1" applyBorder="1" applyAlignment="1" applyProtection="1">
      <alignment vertical="center"/>
    </xf>
    <xf numFmtId="2" fontId="62" fillId="0" borderId="0" xfId="0" applyNumberFormat="1" applyFont="1" applyBorder="1" applyAlignment="1" applyProtection="1">
      <alignment horizontal="center" vertical="center"/>
    </xf>
    <xf numFmtId="0" fontId="50" fillId="0" borderId="0" xfId="0" applyFont="1" applyBorder="1" applyAlignment="1" applyProtection="1">
      <alignment vertical="center"/>
    </xf>
    <xf numFmtId="0" fontId="62" fillId="0" borderId="6" xfId="0" applyFont="1" applyBorder="1" applyAlignment="1" applyProtection="1">
      <alignment horizontal="center" vertical="center"/>
    </xf>
    <xf numFmtId="0" fontId="50" fillId="0" borderId="0" xfId="0" applyFont="1" applyFill="1" applyAlignment="1" applyProtection="1">
      <alignment vertical="center"/>
    </xf>
    <xf numFmtId="2" fontId="62" fillId="0" borderId="60" xfId="0" applyNumberFormat="1" applyFont="1" applyBorder="1" applyAlignment="1" applyProtection="1">
      <alignment horizontal="right" vertical="center"/>
    </xf>
    <xf numFmtId="0" fontId="50" fillId="0" borderId="6" xfId="0" applyFont="1" applyBorder="1" applyAlignment="1" applyProtection="1">
      <alignment vertical="center"/>
    </xf>
    <xf numFmtId="0" fontId="50" fillId="0" borderId="0" xfId="0" applyFont="1" applyAlignment="1" applyProtection="1">
      <alignment vertical="center"/>
    </xf>
    <xf numFmtId="0" fontId="50" fillId="0" borderId="0" xfId="0" applyFont="1" applyAlignment="1" applyProtection="1"/>
    <xf numFmtId="0" fontId="62" fillId="0" borderId="60" xfId="0" applyFont="1" applyBorder="1" applyAlignment="1" applyProtection="1">
      <alignment horizontal="center" vertical="center"/>
    </xf>
    <xf numFmtId="0" fontId="62" fillId="0" borderId="6" xfId="0" applyFont="1" applyFill="1" applyBorder="1" applyAlignment="1" applyProtection="1">
      <alignment horizontal="center" vertical="center"/>
    </xf>
    <xf numFmtId="0" fontId="50" fillId="0" borderId="12" xfId="0" applyFont="1" applyBorder="1" applyAlignment="1" applyProtection="1">
      <alignment horizontal="center" vertical="center"/>
    </xf>
    <xf numFmtId="0" fontId="50" fillId="0" borderId="1" xfId="0" applyFont="1" applyBorder="1" applyAlignment="1" applyProtection="1">
      <alignment vertical="center"/>
    </xf>
    <xf numFmtId="0" fontId="50" fillId="0" borderId="10" xfId="0" applyFont="1" applyBorder="1" applyAlignment="1" applyProtection="1">
      <alignment vertical="center"/>
    </xf>
    <xf numFmtId="2" fontId="62" fillId="0" borderId="12" xfId="0" applyNumberFormat="1" applyFont="1" applyBorder="1" applyAlignment="1" applyProtection="1">
      <alignment horizontal="right" vertical="center"/>
    </xf>
    <xf numFmtId="0" fontId="50" fillId="0" borderId="5" xfId="0" applyFont="1" applyBorder="1" applyAlignment="1" applyProtection="1">
      <alignment horizontal="center" vertical="center"/>
    </xf>
    <xf numFmtId="0" fontId="62" fillId="0" borderId="5" xfId="0" applyFont="1" applyBorder="1" applyAlignment="1" applyProtection="1">
      <alignment horizontal="center" vertical="center"/>
    </xf>
    <xf numFmtId="0" fontId="62" fillId="0" borderId="10" xfId="0" applyFont="1" applyFill="1" applyBorder="1" applyAlignment="1" applyProtection="1">
      <alignment horizontal="center" vertical="center"/>
    </xf>
    <xf numFmtId="0" fontId="50" fillId="14" borderId="11" xfId="0" applyFont="1" applyFill="1" applyBorder="1" applyAlignment="1" applyProtection="1">
      <alignment vertical="center"/>
    </xf>
    <xf numFmtId="0" fontId="50" fillId="0" borderId="6" xfId="0" applyFont="1" applyFill="1" applyBorder="1" applyAlignment="1" applyProtection="1">
      <alignment vertical="center"/>
    </xf>
    <xf numFmtId="2" fontId="62" fillId="0" borderId="60" xfId="0" applyNumberFormat="1" applyFont="1" applyFill="1" applyBorder="1" applyAlignment="1" applyProtection="1">
      <alignment horizontal="right" vertical="center"/>
    </xf>
    <xf numFmtId="0" fontId="62" fillId="0" borderId="6" xfId="0" applyFont="1" applyFill="1" applyBorder="1" applyAlignment="1" applyProtection="1">
      <alignment horizontal="left" vertical="center"/>
    </xf>
    <xf numFmtId="2" fontId="62" fillId="0" borderId="0" xfId="0" applyNumberFormat="1" applyFont="1" applyFill="1" applyBorder="1" applyAlignment="1" applyProtection="1">
      <alignment horizontal="center" vertical="center"/>
    </xf>
    <xf numFmtId="0" fontId="50" fillId="14" borderId="8" xfId="0" applyFont="1" applyFill="1" applyBorder="1" applyAlignment="1" applyProtection="1">
      <alignment vertical="center"/>
    </xf>
    <xf numFmtId="2" fontId="62" fillId="0" borderId="1" xfId="0" applyNumberFormat="1" applyFont="1" applyBorder="1" applyAlignment="1" applyProtection="1">
      <alignment horizontal="center" vertical="center"/>
    </xf>
    <xf numFmtId="2" fontId="62" fillId="0" borderId="12" xfId="0" applyNumberFormat="1" applyFont="1" applyFill="1" applyBorder="1" applyAlignment="1" applyProtection="1">
      <alignment horizontal="right" vertical="center"/>
    </xf>
    <xf numFmtId="0" fontId="50" fillId="12" borderId="11" xfId="0" applyFont="1" applyFill="1" applyBorder="1" applyAlignment="1" applyProtection="1">
      <alignment vertical="center"/>
    </xf>
    <xf numFmtId="0" fontId="50" fillId="0" borderId="0" xfId="0" applyFont="1" applyBorder="1" applyAlignment="1" applyProtection="1">
      <alignment horizontal="center" vertical="center"/>
    </xf>
    <xf numFmtId="0" fontId="50" fillId="0" borderId="58" xfId="0" applyFont="1" applyFill="1" applyBorder="1" applyAlignment="1" applyProtection="1">
      <alignment vertical="center"/>
    </xf>
    <xf numFmtId="2" fontId="62" fillId="0" borderId="0" xfId="0" applyNumberFormat="1" applyFont="1" applyFill="1" applyBorder="1" applyAlignment="1" applyProtection="1">
      <alignment horizontal="right" vertical="center"/>
    </xf>
    <xf numFmtId="0" fontId="50" fillId="12" borderId="11" xfId="0" applyFont="1" applyFill="1" applyBorder="1" applyAlignment="1" applyProtection="1">
      <alignment horizontal="left" vertical="center"/>
    </xf>
    <xf numFmtId="0" fontId="50" fillId="0" borderId="0" xfId="0" applyFont="1" applyFill="1" applyBorder="1" applyAlignment="1" applyProtection="1">
      <alignment vertical="center"/>
    </xf>
    <xf numFmtId="0" fontId="50" fillId="12" borderId="8" xfId="0" applyFont="1" applyFill="1" applyBorder="1" applyAlignment="1" applyProtection="1">
      <alignment vertical="center"/>
    </xf>
    <xf numFmtId="0" fontId="50" fillId="0" borderId="1" xfId="0" applyFont="1" applyBorder="1" applyAlignment="1" applyProtection="1">
      <alignment horizontal="center" vertical="center"/>
    </xf>
    <xf numFmtId="2" fontId="62" fillId="0" borderId="1" xfId="0" applyNumberFormat="1" applyFont="1" applyFill="1" applyBorder="1" applyAlignment="1" applyProtection="1">
      <alignment horizontal="center" vertical="center"/>
    </xf>
    <xf numFmtId="0" fontId="50" fillId="0" borderId="1" xfId="0" applyFont="1" applyFill="1" applyBorder="1" applyAlignment="1" applyProtection="1">
      <alignment vertical="center"/>
    </xf>
    <xf numFmtId="2" fontId="62" fillId="0" borderId="1" xfId="0" applyNumberFormat="1" applyFont="1" applyFill="1" applyBorder="1" applyAlignment="1" applyProtection="1">
      <alignment horizontal="right" vertical="center"/>
    </xf>
    <xf numFmtId="0" fontId="50" fillId="0" borderId="0" xfId="0" applyFont="1" applyFill="1" applyBorder="1" applyAlignment="1" applyProtection="1">
      <alignment horizontal="left" vertical="center"/>
    </xf>
    <xf numFmtId="2" fontId="50" fillId="0" borderId="12" xfId="0" applyNumberFormat="1" applyFont="1" applyBorder="1" applyAlignment="1" applyProtection="1">
      <alignment horizontal="right" vertical="center"/>
    </xf>
    <xf numFmtId="0" fontId="50" fillId="0" borderId="10" xfId="0" applyFont="1" applyBorder="1" applyAlignment="1" applyProtection="1">
      <alignment vertical="top"/>
    </xf>
    <xf numFmtId="0" fontId="50" fillId="0" borderId="6" xfId="0" applyFont="1" applyBorder="1" applyAlignment="1" applyProtection="1">
      <alignment horizontal="center" vertical="center"/>
    </xf>
    <xf numFmtId="2" fontId="74" fillId="0" borderId="12" xfId="0" applyNumberFormat="1" applyFont="1" applyFill="1" applyBorder="1" applyAlignment="1" applyProtection="1">
      <alignment horizontal="right" vertical="center" textRotation="255"/>
    </xf>
    <xf numFmtId="0" fontId="50" fillId="13" borderId="11" xfId="0" applyFont="1" applyFill="1" applyBorder="1" applyAlignment="1" applyProtection="1">
      <alignment vertical="center"/>
    </xf>
    <xf numFmtId="0" fontId="50" fillId="13" borderId="8" xfId="0" applyFont="1" applyFill="1" applyBorder="1" applyAlignment="1" applyProtection="1">
      <alignment vertical="center"/>
    </xf>
    <xf numFmtId="0" fontId="50" fillId="0" borderId="10" xfId="0" applyFont="1" applyFill="1" applyBorder="1" applyAlignment="1" applyProtection="1">
      <alignment vertical="center"/>
    </xf>
    <xf numFmtId="0" fontId="50" fillId="13" borderId="58" xfId="0" applyFont="1" applyFill="1" applyBorder="1" applyAlignment="1" applyProtection="1">
      <alignment vertical="center"/>
    </xf>
    <xf numFmtId="0" fontId="62" fillId="0" borderId="0" xfId="0" applyFont="1" applyFill="1" applyBorder="1" applyAlignment="1" applyProtection="1">
      <alignment vertical="center"/>
    </xf>
    <xf numFmtId="2" fontId="50" fillId="0" borderId="60" xfId="0" applyNumberFormat="1" applyFont="1" applyBorder="1" applyAlignment="1" applyProtection="1">
      <alignment horizontal="right" vertical="center"/>
    </xf>
    <xf numFmtId="0" fontId="50" fillId="0" borderId="6" xfId="0" applyFont="1" applyBorder="1" applyAlignment="1" applyProtection="1">
      <alignment vertical="top"/>
    </xf>
    <xf numFmtId="0" fontId="50" fillId="0" borderId="11" xfId="0" applyFont="1" applyFill="1" applyBorder="1" applyAlignment="1" applyProtection="1">
      <alignment vertical="center"/>
    </xf>
    <xf numFmtId="0" fontId="50" fillId="11" borderId="11" xfId="0" applyFont="1" applyFill="1" applyBorder="1" applyAlignment="1" applyProtection="1">
      <alignment vertical="center"/>
    </xf>
    <xf numFmtId="0" fontId="50" fillId="11" borderId="58" xfId="0" applyFont="1" applyFill="1" applyBorder="1" applyAlignment="1" applyProtection="1">
      <alignment vertical="center"/>
    </xf>
    <xf numFmtId="0" fontId="50" fillId="11" borderId="8" xfId="0" applyFont="1" applyFill="1" applyBorder="1" applyAlignment="1" applyProtection="1">
      <alignment vertical="center"/>
    </xf>
    <xf numFmtId="0" fontId="50" fillId="10" borderId="11" xfId="0" applyFont="1" applyFill="1" applyBorder="1" applyAlignment="1" applyProtection="1">
      <alignment vertical="center"/>
    </xf>
    <xf numFmtId="0" fontId="71" fillId="0" borderId="0" xfId="0" applyFont="1" applyFill="1" applyBorder="1" applyAlignment="1" applyProtection="1">
      <alignment vertical="center"/>
    </xf>
    <xf numFmtId="0" fontId="50" fillId="10" borderId="8" xfId="0" applyFont="1" applyFill="1" applyBorder="1" applyAlignment="1" applyProtection="1">
      <alignment vertical="center"/>
    </xf>
    <xf numFmtId="0" fontId="74" fillId="0" borderId="0" xfId="0" applyFont="1" applyBorder="1" applyAlignment="1" applyProtection="1">
      <alignment vertical="center"/>
    </xf>
    <xf numFmtId="0" fontId="74" fillId="0" borderId="6" xfId="0" applyFont="1" applyFill="1" applyBorder="1" applyAlignment="1" applyProtection="1">
      <alignment vertical="center"/>
    </xf>
    <xf numFmtId="0" fontId="74" fillId="0" borderId="10" xfId="0" applyFont="1" applyFill="1" applyBorder="1" applyAlignment="1" applyProtection="1">
      <alignment vertical="center"/>
    </xf>
    <xf numFmtId="0" fontId="50"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43" fillId="0" borderId="0" xfId="0" applyFont="1" applyBorder="1" applyAlignment="1">
      <alignment horizontal="left"/>
    </xf>
    <xf numFmtId="0" fontId="35" fillId="0" borderId="0" xfId="0" applyFont="1" applyFill="1" applyAlignment="1"/>
    <xf numFmtId="0" fontId="43" fillId="0" borderId="6" xfId="0" applyFont="1" applyBorder="1" applyAlignment="1"/>
    <xf numFmtId="0" fontId="43" fillId="0" borderId="60" xfId="0" applyFont="1" applyBorder="1" applyAlignment="1"/>
    <xf numFmtId="2" fontId="43" fillId="0" borderId="0" xfId="0" applyNumberFormat="1" applyFont="1" applyBorder="1" applyAlignment="1"/>
    <xf numFmtId="2" fontId="35" fillId="0" borderId="60" xfId="0" applyNumberFormat="1" applyFont="1" applyFill="1" applyBorder="1" applyAlignment="1"/>
    <xf numFmtId="2" fontId="35" fillId="0" borderId="0" xfId="0" applyNumberFormat="1" applyFont="1" applyFill="1" applyBorder="1" applyAlignment="1"/>
    <xf numFmtId="2" fontId="35" fillId="0" borderId="6" xfId="0" applyNumberFormat="1" applyFont="1" applyFill="1" applyBorder="1" applyAlignment="1"/>
    <xf numFmtId="0" fontId="43" fillId="0" borderId="0" xfId="3" applyFont="1" applyFill="1" applyBorder="1" applyAlignment="1"/>
    <xf numFmtId="2" fontId="43" fillId="0" borderId="0" xfId="3" applyNumberFormat="1" applyFont="1" applyFill="1" applyBorder="1" applyAlignment="1"/>
    <xf numFmtId="0" fontId="43" fillId="0" borderId="10" xfId="0" applyFont="1" applyFill="1" applyBorder="1" applyAlignment="1"/>
    <xf numFmtId="0" fontId="36" fillId="4" borderId="57" xfId="0" applyFont="1" applyFill="1" applyBorder="1" applyAlignment="1">
      <alignment horizontal="left"/>
    </xf>
    <xf numFmtId="0" fontId="35" fillId="4" borderId="63" xfId="0" applyFont="1" applyFill="1" applyBorder="1" applyAlignment="1">
      <alignment horizontal="center"/>
    </xf>
    <xf numFmtId="0" fontId="38" fillId="4" borderId="63" xfId="0" applyFont="1" applyFill="1" applyBorder="1" applyAlignment="1">
      <alignment horizontal="center"/>
    </xf>
    <xf numFmtId="0" fontId="35" fillId="4" borderId="63" xfId="0" applyFont="1" applyFill="1" applyBorder="1" applyAlignment="1"/>
    <xf numFmtId="0" fontId="35" fillId="4" borderId="62" xfId="0" applyFont="1" applyFill="1" applyBorder="1" applyAlignment="1"/>
    <xf numFmtId="0" fontId="36" fillId="4" borderId="12" xfId="0" applyFont="1" applyFill="1" applyBorder="1" applyAlignment="1">
      <alignment horizontal="left"/>
    </xf>
    <xf numFmtId="0" fontId="35" fillId="4" borderId="1" xfId="0" applyFont="1" applyFill="1" applyBorder="1" applyAlignment="1">
      <alignment horizontal="center"/>
    </xf>
    <xf numFmtId="0" fontId="38" fillId="4" borderId="1" xfId="0" applyFont="1" applyFill="1" applyBorder="1" applyAlignment="1">
      <alignment horizontal="center"/>
    </xf>
    <xf numFmtId="0" fontId="35" fillId="4" borderId="1" xfId="0" applyFont="1" applyFill="1" applyBorder="1" applyAlignment="1"/>
    <xf numFmtId="0" fontId="35" fillId="4" borderId="10" xfId="0" applyFont="1" applyFill="1" applyBorder="1" applyAlignment="1"/>
    <xf numFmtId="0" fontId="43" fillId="0" borderId="60" xfId="3" applyFont="1" applyFill="1" applyBorder="1" applyAlignment="1"/>
    <xf numFmtId="0" fontId="52" fillId="0" borderId="60" xfId="0" applyFont="1" applyBorder="1" applyAlignment="1">
      <alignment horizontal="right"/>
    </xf>
    <xf numFmtId="0" fontId="58" fillId="0" borderId="0" xfId="0" applyNumberFormat="1" applyFont="1" applyBorder="1" applyAlignment="1">
      <alignment horizontal="left"/>
    </xf>
    <xf numFmtId="0" fontId="52" fillId="0" borderId="12" xfId="0" applyFont="1" applyBorder="1" applyAlignment="1">
      <alignment horizontal="right"/>
    </xf>
    <xf numFmtId="0" fontId="58" fillId="0" borderId="1" xfId="0" applyNumberFormat="1" applyFont="1" applyBorder="1" applyAlignment="1">
      <alignment horizontal="left"/>
    </xf>
    <xf numFmtId="0" fontId="75" fillId="0" borderId="60" xfId="0" applyFont="1" applyFill="1" applyBorder="1" applyAlignment="1">
      <alignment horizontal="left" indent="2"/>
    </xf>
    <xf numFmtId="0" fontId="75" fillId="0" borderId="60" xfId="0" applyFont="1" applyFill="1" applyBorder="1" applyAlignment="1">
      <alignment horizontal="right"/>
    </xf>
    <xf numFmtId="0" fontId="75" fillId="0" borderId="0" xfId="0" applyFont="1" applyFill="1" applyBorder="1" applyAlignment="1">
      <alignment horizontal="right"/>
    </xf>
    <xf numFmtId="0" fontId="75" fillId="0" borderId="0" xfId="0" applyFont="1" applyFill="1" applyBorder="1" applyAlignment="1">
      <alignment horizontal="left"/>
    </xf>
    <xf numFmtId="0" fontId="75" fillId="0" borderId="6" xfId="0" applyFont="1" applyFill="1" applyBorder="1" applyAlignment="1">
      <alignment horizontal="left"/>
    </xf>
    <xf numFmtId="0" fontId="35" fillId="0" borderId="87" xfId="0" applyFont="1" applyBorder="1" applyAlignment="1">
      <alignment horizontal="left"/>
    </xf>
    <xf numFmtId="0" fontId="35" fillId="0" borderId="88" xfId="0" applyFont="1" applyBorder="1" applyAlignment="1">
      <alignment horizontal="left"/>
    </xf>
    <xf numFmtId="0" fontId="43" fillId="0" borderId="0" xfId="0" applyFont="1" applyFill="1" applyBorder="1" applyAlignment="1">
      <alignment horizontal="left"/>
    </xf>
    <xf numFmtId="0" fontId="35" fillId="0" borderId="58" xfId="0" applyFont="1" applyFill="1" applyBorder="1" applyAlignment="1">
      <alignment horizontal="left"/>
    </xf>
    <xf numFmtId="0" fontId="75" fillId="0" borderId="58" xfId="0" applyFont="1" applyFill="1" applyBorder="1" applyAlignment="1">
      <alignment horizontal="left" indent="2"/>
    </xf>
    <xf numFmtId="0" fontId="5" fillId="0" borderId="0" xfId="0" applyFont="1" applyAlignment="1" applyProtection="1">
      <alignment horizontal="center" vertical="top"/>
    </xf>
    <xf numFmtId="0" fontId="28" fillId="7" borderId="12" xfId="0" applyFont="1" applyFill="1" applyBorder="1" applyAlignment="1" applyProtection="1">
      <alignment vertical="center"/>
    </xf>
    <xf numFmtId="0" fontId="28" fillId="7" borderId="1" xfId="0" applyFont="1" applyFill="1" applyBorder="1" applyAlignment="1" applyProtection="1">
      <alignment vertical="center"/>
    </xf>
    <xf numFmtId="2" fontId="5" fillId="0" borderId="0" xfId="0" applyNumberFormat="1" applyFont="1" applyBorder="1" applyAlignment="1" applyProtection="1">
      <alignment horizontal="center" vertical="center"/>
    </xf>
    <xf numFmtId="0" fontId="8" fillId="0" borderId="0" xfId="0" applyFont="1" applyAlignment="1" applyProtection="1">
      <alignment vertical="center"/>
    </xf>
    <xf numFmtId="0" fontId="7" fillId="0" borderId="0" xfId="0" applyFont="1" applyAlignment="1" applyProtection="1">
      <alignment horizontal="center" vertical="center"/>
    </xf>
    <xf numFmtId="0" fontId="10" fillId="0" borderId="64" xfId="0" applyFont="1" applyFill="1" applyBorder="1" applyAlignment="1" applyProtection="1">
      <alignment horizontal="center" vertical="center"/>
    </xf>
    <xf numFmtId="0" fontId="7" fillId="0" borderId="64" xfId="0" applyFont="1" applyBorder="1" applyAlignment="1" applyProtection="1">
      <alignment horizontal="center" vertical="center"/>
    </xf>
    <xf numFmtId="0" fontId="10" fillId="0" borderId="63" xfId="0" applyFont="1" applyFill="1" applyBorder="1" applyAlignment="1" applyProtection="1">
      <alignment horizontal="center" vertical="center"/>
    </xf>
    <xf numFmtId="0" fontId="50" fillId="0" borderId="0" xfId="0" applyFont="1" applyAlignment="1" applyProtection="1">
      <alignment horizontal="center" vertical="center"/>
    </xf>
    <xf numFmtId="1" fontId="21" fillId="0" borderId="0" xfId="0" applyNumberFormat="1" applyFont="1" applyFill="1" applyBorder="1" applyAlignment="1" applyProtection="1">
      <alignment horizontal="center" vertical="center"/>
    </xf>
    <xf numFmtId="0" fontId="5" fillId="7" borderId="53" xfId="0" applyFont="1" applyFill="1" applyBorder="1" applyAlignment="1" applyProtection="1">
      <alignment vertical="center"/>
    </xf>
    <xf numFmtId="0" fontId="5" fillId="0" borderId="8" xfId="0" applyFont="1" applyFill="1" applyBorder="1" applyAlignment="1" applyProtection="1">
      <alignment horizontal="center" vertical="center"/>
      <protection locked="0"/>
    </xf>
    <xf numFmtId="2" fontId="5" fillId="0" borderId="55" xfId="0" applyNumberFormat="1" applyFont="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1" fontId="5" fillId="0" borderId="52" xfId="0" applyNumberFormat="1"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2" fontId="5" fillId="0" borderId="52" xfId="0" applyNumberFormat="1" applyFont="1" applyFill="1" applyBorder="1" applyAlignment="1" applyProtection="1">
      <alignment horizontal="right" vertical="center" indent="1"/>
    </xf>
    <xf numFmtId="2" fontId="10" fillId="0" borderId="21" xfId="0" applyNumberFormat="1" applyFont="1" applyFill="1" applyBorder="1" applyAlignment="1" applyProtection="1">
      <alignment horizontal="right" vertical="center" indent="1"/>
    </xf>
    <xf numFmtId="2" fontId="7" fillId="0" borderId="0" xfId="0" applyNumberFormat="1" applyFont="1" applyFill="1" applyBorder="1" applyAlignment="1" applyProtection="1">
      <alignment horizontal="right" vertical="center" indent="1"/>
    </xf>
    <xf numFmtId="0" fontId="35" fillId="0" borderId="53" xfId="0" applyFont="1" applyBorder="1" applyAlignment="1">
      <alignment horizontal="right" vertical="center"/>
    </xf>
    <xf numFmtId="0" fontId="35" fillId="0" borderId="64" xfId="0" applyFont="1" applyBorder="1" applyAlignment="1">
      <alignment horizontal="right" vertical="center"/>
    </xf>
    <xf numFmtId="0" fontId="36" fillId="8" borderId="0" xfId="0" applyFont="1" applyFill="1" applyBorder="1" applyAlignment="1">
      <alignment vertical="center"/>
    </xf>
    <xf numFmtId="0" fontId="50" fillId="0" borderId="52" xfId="0" applyFont="1" applyBorder="1" applyAlignment="1" applyProtection="1"/>
    <xf numFmtId="165" fontId="74" fillId="0" borderId="52" xfId="0" applyNumberFormat="1" applyFont="1" applyBorder="1" applyAlignment="1" applyProtection="1"/>
    <xf numFmtId="0" fontId="74" fillId="0" borderId="52" xfId="0" applyFont="1" applyBorder="1" applyAlignment="1" applyProtection="1"/>
    <xf numFmtId="0" fontId="74" fillId="0" borderId="57" xfId="0" applyFont="1" applyBorder="1" applyAlignment="1" applyProtection="1"/>
    <xf numFmtId="0" fontId="76" fillId="0" borderId="53" xfId="0" applyFont="1" applyBorder="1" applyAlignment="1" applyProtection="1"/>
    <xf numFmtId="0" fontId="74" fillId="0" borderId="64" xfId="0" applyFont="1" applyBorder="1" applyAlignment="1" applyProtection="1"/>
    <xf numFmtId="0" fontId="74" fillId="0" borderId="54" xfId="0" applyFont="1" applyBorder="1" applyAlignment="1" applyProtection="1"/>
    <xf numFmtId="0" fontId="74" fillId="0" borderId="63" xfId="0" applyFont="1" applyBorder="1" applyAlignment="1" applyProtection="1"/>
    <xf numFmtId="0" fontId="74" fillId="0" borderId="62" xfId="0" applyFont="1" applyBorder="1" applyAlignment="1" applyProtection="1"/>
    <xf numFmtId="0" fontId="74" fillId="0" borderId="52" xfId="0" applyFont="1" applyFill="1" applyBorder="1" applyAlignment="1" applyProtection="1">
      <alignment vertical="center"/>
    </xf>
    <xf numFmtId="0" fontId="74" fillId="0" borderId="12" xfId="0" applyFont="1" applyBorder="1" applyAlignment="1" applyProtection="1"/>
    <xf numFmtId="0" fontId="74" fillId="0" borderId="0" xfId="0" applyFont="1" applyBorder="1" applyAlignment="1" applyProtection="1"/>
    <xf numFmtId="0" fontId="74" fillId="0" borderId="1" xfId="0" applyFont="1" applyBorder="1" applyAlignment="1" applyProtection="1"/>
    <xf numFmtId="0" fontId="74" fillId="0" borderId="10" xfId="0" applyFont="1" applyBorder="1" applyAlignment="1" applyProtection="1"/>
    <xf numFmtId="166" fontId="74" fillId="0" borderId="52" xfId="0" applyNumberFormat="1" applyFont="1" applyBorder="1" applyAlignment="1" applyProtection="1"/>
    <xf numFmtId="0" fontId="62" fillId="0" borderId="63" xfId="0" applyFont="1" applyBorder="1" applyAlignment="1" applyProtection="1"/>
    <xf numFmtId="0" fontId="77" fillId="0" borderId="63" xfId="0" applyFont="1" applyBorder="1" applyAlignment="1" applyProtection="1"/>
    <xf numFmtId="0" fontId="76" fillId="0" borderId="63" xfId="0" applyFont="1" applyBorder="1" applyAlignment="1" applyProtection="1"/>
    <xf numFmtId="0" fontId="36" fillId="4" borderId="56" xfId="0" applyFont="1" applyFill="1" applyBorder="1" applyAlignment="1">
      <alignment vertical="center"/>
    </xf>
    <xf numFmtId="0" fontId="36" fillId="4" borderId="17" xfId="0" applyFont="1" applyFill="1" applyBorder="1" applyAlignment="1">
      <alignment horizontal="left" vertical="center"/>
    </xf>
    <xf numFmtId="0" fontId="36" fillId="4" borderId="56" xfId="0" applyFont="1" applyFill="1" applyBorder="1" applyAlignment="1">
      <alignment horizontal="right" vertical="center"/>
    </xf>
    <xf numFmtId="0" fontId="36" fillId="0" borderId="53" xfId="0" applyFont="1" applyFill="1" applyBorder="1" applyAlignment="1">
      <alignment vertical="center"/>
    </xf>
    <xf numFmtId="0" fontId="35" fillId="0" borderId="54" xfId="0" applyFont="1" applyBorder="1" applyAlignment="1">
      <alignment horizontal="right" vertical="center"/>
    </xf>
    <xf numFmtId="0" fontId="35" fillId="0" borderId="6" xfId="0" applyFont="1" applyBorder="1" applyAlignment="1">
      <alignment horizontal="right" vertical="center"/>
    </xf>
    <xf numFmtId="2" fontId="35" fillId="0" borderId="6" xfId="0" applyNumberFormat="1" applyFont="1" applyBorder="1" applyAlignment="1">
      <alignment horizontal="right" vertical="center"/>
    </xf>
    <xf numFmtId="0" fontId="39" fillId="0" borderId="60" xfId="0" applyFont="1" applyFill="1" applyBorder="1" applyAlignment="1">
      <alignment vertical="center"/>
    </xf>
    <xf numFmtId="0" fontId="38" fillId="0" borderId="6" xfId="0" applyFont="1" applyBorder="1" applyAlignment="1">
      <alignment horizontal="right" vertical="center"/>
    </xf>
    <xf numFmtId="165" fontId="43" fillId="0" borderId="6" xfId="0" applyNumberFormat="1" applyFont="1" applyBorder="1" applyAlignment="1">
      <alignment horizontal="right" vertical="center"/>
    </xf>
    <xf numFmtId="0" fontId="35" fillId="0" borderId="55" xfId="0" applyFont="1" applyBorder="1" applyAlignment="1">
      <alignment horizontal="left" vertical="center"/>
    </xf>
    <xf numFmtId="0" fontId="35" fillId="0" borderId="58" xfId="0" applyFont="1" applyBorder="1" applyAlignment="1">
      <alignment horizontal="left" vertical="center"/>
    </xf>
    <xf numFmtId="0" fontId="43" fillId="0" borderId="58" xfId="0" applyFont="1" applyFill="1" applyBorder="1" applyAlignment="1">
      <alignment horizontal="left" vertical="center"/>
    </xf>
    <xf numFmtId="1" fontId="43" fillId="0" borderId="58" xfId="0" applyNumberFormat="1" applyFont="1" applyBorder="1" applyAlignment="1">
      <alignment horizontal="left" vertical="center"/>
    </xf>
    <xf numFmtId="0" fontId="43" fillId="0" borderId="58" xfId="0" applyFont="1" applyBorder="1" applyAlignment="1">
      <alignment horizontal="left" vertical="center"/>
    </xf>
    <xf numFmtId="1" fontId="43" fillId="0" borderId="58" xfId="0" applyNumberFormat="1" applyFont="1" applyFill="1" applyBorder="1" applyAlignment="1">
      <alignment horizontal="left" vertical="center"/>
    </xf>
    <xf numFmtId="1" fontId="43" fillId="0" borderId="8" xfId="0" applyNumberFormat="1" applyFont="1" applyFill="1" applyBorder="1" applyAlignment="1">
      <alignment horizontal="left" vertical="center"/>
    </xf>
    <xf numFmtId="0" fontId="39" fillId="0" borderId="53" xfId="0" applyFont="1" applyFill="1" applyBorder="1" applyAlignment="1">
      <alignment vertical="center"/>
    </xf>
    <xf numFmtId="1" fontId="43" fillId="0" borderId="55" xfId="0" applyNumberFormat="1" applyFont="1" applyFill="1" applyBorder="1" applyAlignment="1">
      <alignment horizontal="left" vertical="center"/>
    </xf>
    <xf numFmtId="0" fontId="35" fillId="0" borderId="54" xfId="0" applyFont="1" applyFill="1" applyBorder="1"/>
    <xf numFmtId="0" fontId="36" fillId="0" borderId="60" xfId="0" applyFont="1" applyFill="1" applyBorder="1"/>
    <xf numFmtId="1" fontId="43" fillId="0" borderId="55" xfId="0" applyNumberFormat="1" applyFont="1" applyBorder="1" applyAlignment="1">
      <alignment horizontal="left" vertical="center"/>
    </xf>
    <xf numFmtId="165" fontId="43" fillId="0" borderId="54" xfId="0" applyNumberFormat="1" applyFont="1" applyBorder="1" applyAlignment="1">
      <alignment horizontal="right" vertical="center"/>
    </xf>
    <xf numFmtId="0" fontId="39" fillId="0" borderId="12" xfId="0" applyFont="1" applyFill="1" applyBorder="1" applyAlignment="1">
      <alignment vertical="center"/>
    </xf>
    <xf numFmtId="1" fontId="43" fillId="0" borderId="8" xfId="0" applyNumberFormat="1" applyFont="1" applyBorder="1" applyAlignment="1">
      <alignment horizontal="left" vertical="center"/>
    </xf>
    <xf numFmtId="165" fontId="43" fillId="0" borderId="10" xfId="0" applyNumberFormat="1" applyFont="1" applyBorder="1" applyAlignment="1">
      <alignment horizontal="right" vertical="center"/>
    </xf>
    <xf numFmtId="0" fontId="38" fillId="0" borderId="54" xfId="0" applyFont="1" applyBorder="1" applyAlignment="1">
      <alignment horizontal="right" vertical="center"/>
    </xf>
    <xf numFmtId="0" fontId="35" fillId="0" borderId="8" xfId="0" applyFont="1" applyBorder="1" applyAlignment="1">
      <alignment horizontal="left" vertical="center"/>
    </xf>
    <xf numFmtId="0" fontId="43" fillId="0" borderId="10" xfId="0" applyFont="1" applyBorder="1" applyAlignment="1">
      <alignment horizontal="right" vertical="center"/>
    </xf>
    <xf numFmtId="0" fontId="35" fillId="0" borderId="8" xfId="0" applyFont="1" applyFill="1" applyBorder="1" applyAlignment="1">
      <alignment horizontal="left" vertical="center"/>
    </xf>
    <xf numFmtId="0" fontId="35" fillId="0" borderId="10" xfId="0" applyFont="1" applyBorder="1" applyAlignment="1">
      <alignment horizontal="right" vertical="center"/>
    </xf>
    <xf numFmtId="0" fontId="43" fillId="0" borderId="6" xfId="0" applyFont="1" applyBorder="1" applyAlignment="1">
      <alignment horizontal="right" vertical="center"/>
    </xf>
    <xf numFmtId="0" fontId="43" fillId="0" borderId="55" xfId="0" applyFont="1" applyFill="1" applyBorder="1" applyAlignment="1">
      <alignment horizontal="left" vertical="center"/>
    </xf>
    <xf numFmtId="0" fontId="43" fillId="0" borderId="8" xfId="0" applyFont="1" applyFill="1" applyBorder="1" applyAlignment="1">
      <alignment horizontal="left" vertical="center"/>
    </xf>
    <xf numFmtId="2" fontId="43" fillId="0" borderId="10" xfId="0" applyNumberFormat="1" applyFont="1" applyFill="1" applyBorder="1" applyAlignment="1">
      <alignment horizontal="right" vertical="center"/>
    </xf>
    <xf numFmtId="0" fontId="8" fillId="0" borderId="52" xfId="0" applyFont="1" applyBorder="1" applyAlignment="1" applyProtection="1"/>
    <xf numFmtId="0" fontId="7" fillId="0" borderId="0" xfId="0" applyFont="1" applyBorder="1" applyAlignment="1" applyProtection="1">
      <alignment horizontal="left" vertical="center"/>
    </xf>
    <xf numFmtId="0" fontId="26" fillId="0" borderId="0" xfId="0" applyFont="1" applyBorder="1" applyAlignment="1" applyProtection="1">
      <alignment horizontal="center" vertical="center"/>
      <protection locked="0"/>
    </xf>
    <xf numFmtId="0" fontId="5" fillId="0" borderId="0" xfId="0" applyFont="1" applyAlignment="1">
      <alignment horizontal="right"/>
    </xf>
    <xf numFmtId="0" fontId="5" fillId="0" borderId="0" xfId="0" applyFont="1" applyAlignment="1">
      <alignment horizontal="left"/>
    </xf>
    <xf numFmtId="0" fontId="5" fillId="0" borderId="0" xfId="0" applyFont="1" applyFill="1"/>
    <xf numFmtId="0" fontId="8" fillId="0" borderId="0" xfId="0" applyFont="1" applyBorder="1" applyAlignment="1">
      <alignment vertical="center"/>
    </xf>
    <xf numFmtId="0" fontId="8" fillId="0" borderId="0" xfId="0" applyFont="1" applyBorder="1"/>
    <xf numFmtId="0" fontId="5" fillId="0" borderId="0" xfId="0" applyFont="1" applyBorder="1" applyAlignment="1">
      <alignment horizontal="right"/>
    </xf>
    <xf numFmtId="0" fontId="5" fillId="0" borderId="0" xfId="0" applyFont="1" applyFill="1" applyBorder="1"/>
    <xf numFmtId="0" fontId="5" fillId="4" borderId="17" xfId="0" applyFont="1" applyFill="1" applyBorder="1" applyAlignment="1">
      <alignment horizontal="right"/>
    </xf>
    <xf numFmtId="0" fontId="5" fillId="4" borderId="18" xfId="0" applyFont="1" applyFill="1" applyBorder="1" applyAlignment="1">
      <alignment horizontal="left"/>
    </xf>
    <xf numFmtId="0" fontId="8" fillId="5" borderId="19" xfId="0" applyFont="1" applyFill="1" applyBorder="1"/>
    <xf numFmtId="0" fontId="8" fillId="5" borderId="17" xfId="0" applyFont="1" applyFill="1" applyBorder="1"/>
    <xf numFmtId="0" fontId="5" fillId="5" borderId="17" xfId="0" applyFont="1" applyFill="1" applyBorder="1" applyAlignment="1">
      <alignment horizontal="right"/>
    </xf>
    <xf numFmtId="0" fontId="8" fillId="5" borderId="18" xfId="0" applyFont="1" applyFill="1" applyBorder="1"/>
    <xf numFmtId="0" fontId="25" fillId="5" borderId="19" xfId="0" applyFont="1" applyFill="1" applyBorder="1" applyAlignment="1">
      <alignment vertical="center"/>
    </xf>
    <xf numFmtId="0" fontId="25" fillId="5" borderId="17" xfId="0" applyFont="1" applyFill="1" applyBorder="1" applyAlignment="1">
      <alignment vertical="center"/>
    </xf>
    <xf numFmtId="0" fontId="25" fillId="5" borderId="18" xfId="0" applyFont="1" applyFill="1" applyBorder="1" applyAlignment="1">
      <alignment vertical="center"/>
    </xf>
    <xf numFmtId="0" fontId="8" fillId="4" borderId="57" xfId="0" applyFont="1" applyFill="1" applyBorder="1" applyAlignment="1">
      <alignment horizontal="left"/>
    </xf>
    <xf numFmtId="0" fontId="5" fillId="4" borderId="63" xfId="0" applyFont="1" applyFill="1" applyBorder="1" applyAlignment="1">
      <alignment horizontal="center"/>
    </xf>
    <xf numFmtId="0" fontId="7" fillId="4" borderId="63" xfId="0" applyFont="1" applyFill="1" applyBorder="1" applyAlignment="1">
      <alignment horizontal="center"/>
    </xf>
    <xf numFmtId="0" fontId="7" fillId="0" borderId="0" xfId="0" applyFont="1"/>
    <xf numFmtId="0" fontId="9" fillId="0" borderId="53" xfId="0" applyFont="1" applyBorder="1" applyAlignment="1"/>
    <xf numFmtId="0" fontId="9" fillId="0" borderId="64" xfId="0" applyFont="1" applyBorder="1" applyAlignment="1"/>
    <xf numFmtId="0" fontId="9" fillId="0" borderId="54" xfId="0" applyFont="1" applyBorder="1" applyAlignment="1"/>
    <xf numFmtId="0" fontId="9" fillId="0" borderId="60" xfId="0" applyFont="1" applyBorder="1" applyAlignment="1"/>
    <xf numFmtId="0" fontId="9" fillId="0" borderId="0" xfId="0" applyFont="1" applyBorder="1" applyAlignment="1"/>
    <xf numFmtId="0" fontId="9" fillId="0" borderId="6" xfId="0" applyFont="1" applyBorder="1" applyAlignment="1"/>
    <xf numFmtId="0" fontId="9" fillId="0" borderId="60" xfId="3" applyFont="1" applyFill="1" applyBorder="1" applyAlignment="1"/>
    <xf numFmtId="0" fontId="9" fillId="0" borderId="6" xfId="3" applyFont="1" applyFill="1" applyBorder="1" applyAlignment="1"/>
    <xf numFmtId="0" fontId="5" fillId="0" borderId="0" xfId="0" applyFont="1" applyBorder="1" applyAlignment="1">
      <alignment horizontal="left"/>
    </xf>
    <xf numFmtId="0" fontId="5" fillId="0" borderId="6" xfId="0" applyFont="1" applyBorder="1" applyAlignment="1">
      <alignment horizontal="left"/>
    </xf>
    <xf numFmtId="0" fontId="5" fillId="0" borderId="12" xfId="0" applyFont="1" applyBorder="1"/>
    <xf numFmtId="0" fontId="5" fillId="0" borderId="10" xfId="0" applyFont="1" applyBorder="1"/>
    <xf numFmtId="0" fontId="7" fillId="0" borderId="0" xfId="0" applyFont="1" applyBorder="1" applyAlignment="1">
      <alignment horizontal="right"/>
    </xf>
    <xf numFmtId="1" fontId="7" fillId="0" borderId="0" xfId="0" applyNumberFormat="1" applyFont="1" applyBorder="1"/>
    <xf numFmtId="0" fontId="5" fillId="0" borderId="6" xfId="0" applyFont="1" applyFill="1" applyBorder="1" applyAlignment="1">
      <alignment horizontal="left"/>
    </xf>
    <xf numFmtId="0" fontId="5" fillId="0" borderId="60" xfId="0" applyFont="1" applyBorder="1" applyAlignment="1">
      <alignment vertical="center"/>
    </xf>
    <xf numFmtId="0" fontId="5" fillId="0" borderId="60" xfId="0" applyFont="1" applyFill="1" applyBorder="1"/>
    <xf numFmtId="2" fontId="7" fillId="0" borderId="0" xfId="0" applyNumberFormat="1" applyFont="1" applyFill="1" applyBorder="1" applyAlignment="1">
      <alignment horizontal="right"/>
    </xf>
    <xf numFmtId="0" fontId="7" fillId="0" borderId="0" xfId="0" applyFont="1" applyFill="1" applyBorder="1" applyAlignment="1">
      <alignment horizontal="right"/>
    </xf>
    <xf numFmtId="0" fontId="5" fillId="0" borderId="1" xfId="0" applyFont="1" applyBorder="1"/>
    <xf numFmtId="0" fontId="7" fillId="0" borderId="1" xfId="0" applyFont="1" applyBorder="1"/>
    <xf numFmtId="0" fontId="9" fillId="0" borderId="1" xfId="0" applyFont="1" applyBorder="1"/>
    <xf numFmtId="0" fontId="7" fillId="0" borderId="0" xfId="0" applyFont="1" applyFill="1" applyBorder="1"/>
    <xf numFmtId="166" fontId="7" fillId="0" borderId="0" xfId="0" applyNumberFormat="1" applyFont="1" applyBorder="1"/>
    <xf numFmtId="0" fontId="8" fillId="0" borderId="6" xfId="0" applyFont="1" applyBorder="1"/>
    <xf numFmtId="2" fontId="7" fillId="0" borderId="0" xfId="0" applyNumberFormat="1" applyFont="1" applyBorder="1" applyAlignment="1">
      <alignment horizontal="right"/>
    </xf>
    <xf numFmtId="1" fontId="7" fillId="0" borderId="0" xfId="0" applyNumberFormat="1" applyFont="1" applyBorder="1" applyAlignment="1">
      <alignment horizontal="right"/>
    </xf>
    <xf numFmtId="165" fontId="18" fillId="0" borderId="0" xfId="0" applyNumberFormat="1" applyFont="1" applyBorder="1"/>
    <xf numFmtId="0" fontId="8" fillId="0" borderId="0" xfId="0" applyFont="1" applyBorder="1" applyAlignment="1">
      <alignment horizontal="right"/>
    </xf>
    <xf numFmtId="0" fontId="18" fillId="0" borderId="0" xfId="0" applyFont="1" applyBorder="1"/>
    <xf numFmtId="2" fontId="18" fillId="0" borderId="0" xfId="0" applyNumberFormat="1" applyFont="1" applyBorder="1" applyAlignment="1">
      <alignment horizontal="right"/>
    </xf>
    <xf numFmtId="0" fontId="5" fillId="0" borderId="12" xfId="0" applyFont="1" applyFill="1" applyBorder="1"/>
    <xf numFmtId="0" fontId="5" fillId="0" borderId="1" xfId="0" applyFont="1" applyFill="1" applyBorder="1"/>
    <xf numFmtId="0" fontId="5" fillId="0" borderId="10" xfId="0" applyFont="1" applyFill="1" applyBorder="1"/>
    <xf numFmtId="0" fontId="8" fillId="8" borderId="12" xfId="0" applyFont="1" applyFill="1" applyBorder="1"/>
    <xf numFmtId="0" fontId="5" fillId="0" borderId="12" xfId="0" applyFont="1" applyBorder="1" applyAlignment="1"/>
    <xf numFmtId="0" fontId="5" fillId="0" borderId="1" xfId="0" applyFont="1" applyBorder="1" applyAlignment="1"/>
    <xf numFmtId="0" fontId="5" fillId="0" borderId="10" xfId="0" applyFont="1" applyBorder="1" applyAlignment="1"/>
    <xf numFmtId="0" fontId="5" fillId="0" borderId="53" xfId="0" applyFont="1" applyBorder="1"/>
    <xf numFmtId="0" fontId="5" fillId="0" borderId="64" xfId="0" applyFont="1" applyBorder="1"/>
    <xf numFmtId="0" fontId="5" fillId="0" borderId="54" xfId="0" applyFont="1" applyBorder="1"/>
    <xf numFmtId="0" fontId="8" fillId="4" borderId="53" xfId="0" applyFont="1" applyFill="1" applyBorder="1" applyAlignment="1">
      <alignment horizontal="left"/>
    </xf>
    <xf numFmtId="0" fontId="5" fillId="4" borderId="64" xfId="0" applyFont="1" applyFill="1" applyBorder="1" applyAlignment="1">
      <alignment horizontal="center"/>
    </xf>
    <xf numFmtId="0" fontId="7" fillId="4" borderId="64" xfId="0" applyFont="1" applyFill="1" applyBorder="1" applyAlignment="1">
      <alignment horizontal="center"/>
    </xf>
    <xf numFmtId="0" fontId="7" fillId="0" borderId="60" xfId="0" applyFont="1" applyBorder="1" applyAlignment="1">
      <alignment horizontal="left"/>
    </xf>
    <xf numFmtId="0" fontId="5" fillId="0" borderId="64" xfId="0" applyFont="1" applyBorder="1" applyAlignment="1">
      <alignment horizontal="right"/>
    </xf>
    <xf numFmtId="0" fontId="7" fillId="0" borderId="1" xfId="0" applyFont="1" applyBorder="1" applyAlignment="1">
      <alignment horizontal="right"/>
    </xf>
    <xf numFmtId="2" fontId="7" fillId="0" borderId="1" xfId="0" applyNumberFormat="1" applyFont="1" applyBorder="1" applyAlignment="1">
      <alignment horizontal="right"/>
    </xf>
    <xf numFmtId="166" fontId="7" fillId="0" borderId="0" xfId="0" applyNumberFormat="1" applyFont="1" applyBorder="1" applyAlignment="1">
      <alignment horizontal="right"/>
    </xf>
    <xf numFmtId="0" fontId="8" fillId="0" borderId="0" xfId="0" applyFont="1" applyFill="1" applyBorder="1"/>
    <xf numFmtId="2" fontId="9" fillId="0" borderId="0" xfId="0" applyNumberFormat="1" applyFont="1" applyFill="1" applyBorder="1" applyAlignment="1">
      <alignment horizontal="right"/>
    </xf>
    <xf numFmtId="0" fontId="8" fillId="0" borderId="0" xfId="0" applyFont="1" applyFill="1" applyBorder="1" applyAlignment="1">
      <alignment horizontal="left"/>
    </xf>
    <xf numFmtId="0" fontId="8" fillId="7" borderId="57" xfId="0" applyFont="1" applyFill="1" applyBorder="1"/>
    <xf numFmtId="0" fontId="5" fillId="7" borderId="57" xfId="0" applyFont="1" applyFill="1" applyBorder="1"/>
    <xf numFmtId="0" fontId="5" fillId="7" borderId="62" xfId="0" applyFont="1" applyFill="1" applyBorder="1"/>
    <xf numFmtId="0" fontId="5" fillId="7" borderId="63" xfId="0" applyFont="1" applyFill="1" applyBorder="1"/>
    <xf numFmtId="1" fontId="7" fillId="0" borderId="1" xfId="0" applyNumberFormat="1" applyFont="1" applyBorder="1"/>
    <xf numFmtId="0" fontId="9" fillId="0" borderId="0" xfId="0" applyFont="1" applyFill="1" applyBorder="1"/>
    <xf numFmtId="0" fontId="25" fillId="0" borderId="0" xfId="0" applyFont="1" applyFill="1" applyBorder="1" applyAlignment="1">
      <alignment vertical="center"/>
    </xf>
    <xf numFmtId="1" fontId="9" fillId="0" borderId="0" xfId="0" applyNumberFormat="1" applyFont="1" applyFill="1" applyBorder="1" applyAlignment="1">
      <alignment vertical="center"/>
    </xf>
    <xf numFmtId="0" fontId="9" fillId="0" borderId="0" xfId="0" applyFont="1" applyFill="1"/>
    <xf numFmtId="0" fontId="5" fillId="8" borderId="22" xfId="0" applyFont="1" applyFill="1" applyBorder="1"/>
    <xf numFmtId="0" fontId="5" fillId="8" borderId="14" xfId="0" applyFont="1" applyFill="1" applyBorder="1" applyAlignment="1">
      <alignment horizontal="right"/>
    </xf>
    <xf numFmtId="0" fontId="5" fillId="8" borderId="15" xfId="0" applyFont="1" applyFill="1" applyBorder="1" applyAlignment="1">
      <alignment horizontal="left"/>
    </xf>
    <xf numFmtId="0" fontId="8" fillId="8" borderId="26" xfId="0" applyFont="1" applyFill="1" applyBorder="1" applyAlignment="1">
      <alignment horizontal="left"/>
    </xf>
    <xf numFmtId="0" fontId="5" fillId="8" borderId="27" xfId="0" applyFont="1" applyFill="1" applyBorder="1"/>
    <xf numFmtId="0" fontId="5" fillId="8" borderId="24" xfId="0" applyFont="1" applyFill="1" applyBorder="1" applyAlignment="1">
      <alignment horizontal="right"/>
    </xf>
    <xf numFmtId="0" fontId="5" fillId="8" borderId="25" xfId="0" applyFont="1" applyFill="1" applyBorder="1" applyAlignment="1">
      <alignment horizontal="left"/>
    </xf>
    <xf numFmtId="0" fontId="7" fillId="8" borderId="0" xfId="0" applyFont="1" applyFill="1" applyBorder="1" applyAlignment="1">
      <alignment horizontal="right"/>
    </xf>
    <xf numFmtId="0" fontId="8" fillId="8" borderId="19" xfId="0" applyFont="1" applyFill="1" applyBorder="1"/>
    <xf numFmtId="0" fontId="9" fillId="0" borderId="0" xfId="3" applyFont="1" applyFill="1" applyBorder="1" applyAlignment="1"/>
    <xf numFmtId="0" fontId="9" fillId="0" borderId="12" xfId="3" applyFont="1" applyFill="1" applyBorder="1" applyAlignment="1"/>
    <xf numFmtId="0" fontId="9" fillId="0" borderId="1" xfId="3" applyFont="1" applyFill="1" applyBorder="1" applyAlignment="1"/>
    <xf numFmtId="0" fontId="9" fillId="0" borderId="10" xfId="3" applyFont="1" applyFill="1" applyBorder="1" applyAlignment="1"/>
    <xf numFmtId="0" fontId="5" fillId="0" borderId="0" xfId="0" applyFont="1" applyBorder="1" applyAlignment="1"/>
    <xf numFmtId="0" fontId="8" fillId="0" borderId="6" xfId="0" applyFont="1" applyBorder="1" applyAlignment="1">
      <alignment horizontal="left"/>
    </xf>
    <xf numFmtId="0" fontId="5" fillId="0" borderId="10" xfId="0" applyFont="1" applyBorder="1" applyAlignment="1">
      <alignment horizontal="left"/>
    </xf>
    <xf numFmtId="0" fontId="8" fillId="8" borderId="57" xfId="0" applyFont="1" applyFill="1" applyBorder="1"/>
    <xf numFmtId="0" fontId="7" fillId="0" borderId="6" xfId="0" applyFont="1" applyFill="1" applyBorder="1" applyAlignment="1">
      <alignment horizontal="right"/>
    </xf>
    <xf numFmtId="0" fontId="9" fillId="0" borderId="6" xfId="0" applyFont="1" applyBorder="1"/>
    <xf numFmtId="0" fontId="7" fillId="0" borderId="6" xfId="0" applyFont="1" applyBorder="1" applyAlignment="1">
      <alignment horizontal="right"/>
    </xf>
    <xf numFmtId="0" fontId="7" fillId="8" borderId="23" xfId="0" applyFont="1" applyFill="1" applyBorder="1" applyAlignment="1">
      <alignment horizontal="right"/>
    </xf>
    <xf numFmtId="2" fontId="9" fillId="0" borderId="6" xfId="0" applyNumberFormat="1" applyFont="1" applyBorder="1" applyAlignment="1">
      <alignment horizontal="left"/>
    </xf>
    <xf numFmtId="0" fontId="9" fillId="0" borderId="6" xfId="0" applyFont="1" applyBorder="1" applyAlignment="1">
      <alignment horizontal="left"/>
    </xf>
    <xf numFmtId="2" fontId="9" fillId="0" borderId="10" xfId="0" applyNumberFormat="1" applyFont="1" applyBorder="1" applyAlignment="1">
      <alignment horizontal="left"/>
    </xf>
    <xf numFmtId="166" fontId="9" fillId="0" borderId="6" xfId="0" applyNumberFormat="1" applyFont="1" applyBorder="1" applyAlignment="1">
      <alignment horizontal="left"/>
    </xf>
    <xf numFmtId="0" fontId="5" fillId="0" borderId="67" xfId="0" applyFont="1" applyBorder="1" applyAlignment="1">
      <alignment horizontal="left"/>
    </xf>
    <xf numFmtId="0" fontId="5" fillId="8" borderId="63" xfId="0" applyFont="1" applyFill="1" applyBorder="1" applyAlignment="1">
      <alignment horizontal="right"/>
    </xf>
    <xf numFmtId="0" fontId="5" fillId="8" borderId="62" xfId="0" applyFont="1" applyFill="1" applyBorder="1" applyAlignment="1">
      <alignment horizontal="left"/>
    </xf>
    <xf numFmtId="0" fontId="5" fillId="8" borderId="1" xfId="0" applyFont="1" applyFill="1" applyBorder="1" applyAlignment="1">
      <alignment horizontal="right"/>
    </xf>
    <xf numFmtId="0" fontId="5" fillId="8" borderId="10" xfId="0" applyFont="1" applyFill="1" applyBorder="1" applyAlignment="1">
      <alignment horizontal="left"/>
    </xf>
    <xf numFmtId="0" fontId="75" fillId="0" borderId="0" xfId="0" applyFont="1" applyFill="1" applyBorder="1" applyAlignment="1">
      <alignment horizontal="left" indent="2"/>
    </xf>
    <xf numFmtId="0" fontId="5" fillId="0" borderId="58" xfId="0" applyFont="1" applyFill="1" applyBorder="1"/>
    <xf numFmtId="0" fontId="5" fillId="0" borderId="6" xfId="0" applyFont="1" applyFill="1" applyBorder="1"/>
    <xf numFmtId="0" fontId="7" fillId="0" borderId="64" xfId="0" applyFont="1" applyFill="1" applyBorder="1" applyAlignment="1">
      <alignment horizontal="right"/>
    </xf>
    <xf numFmtId="0" fontId="5" fillId="0" borderId="53" xfId="0" applyFont="1" applyFill="1" applyBorder="1"/>
    <xf numFmtId="0" fontId="5" fillId="0" borderId="6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xf numFmtId="165" fontId="5" fillId="0" borderId="0" xfId="0" applyNumberFormat="1" applyFont="1" applyFill="1" applyBorder="1" applyAlignment="1">
      <alignment horizontal="center"/>
    </xf>
    <xf numFmtId="2" fontId="5" fillId="0" borderId="0" xfId="0" applyNumberFormat="1" applyFont="1" applyBorder="1" applyAlignment="1">
      <alignment horizontal="center"/>
    </xf>
    <xf numFmtId="0" fontId="5" fillId="0" borderId="60" xfId="0" applyFont="1" applyBorder="1" applyAlignment="1">
      <alignment horizontal="center"/>
    </xf>
    <xf numFmtId="0" fontId="5" fillId="0" borderId="12" xfId="0" applyFont="1" applyBorder="1" applyAlignment="1">
      <alignment horizontal="center"/>
    </xf>
    <xf numFmtId="2" fontId="5" fillId="0" borderId="1" xfId="0" applyNumberFormat="1" applyFont="1" applyBorder="1" applyAlignment="1">
      <alignment horizontal="center"/>
    </xf>
    <xf numFmtId="0" fontId="5" fillId="7" borderId="12" xfId="0" applyFont="1" applyFill="1" applyBorder="1"/>
    <xf numFmtId="0" fontId="5" fillId="7" borderId="1" xfId="0" applyFont="1" applyFill="1" applyBorder="1"/>
    <xf numFmtId="0" fontId="5" fillId="7" borderId="10" xfId="0" applyFont="1" applyFill="1" applyBorder="1"/>
    <xf numFmtId="0" fontId="5" fillId="4" borderId="0" xfId="0" applyFont="1" applyFill="1" applyBorder="1" applyAlignment="1">
      <alignment horizontal="center"/>
    </xf>
    <xf numFmtId="0" fontId="7" fillId="0" borderId="0" xfId="0" applyFont="1" applyFill="1" applyBorder="1" applyAlignment="1">
      <alignment horizontal="center"/>
    </xf>
    <xf numFmtId="0" fontId="8" fillId="4" borderId="60" xfId="0" applyFont="1" applyFill="1" applyBorder="1" applyAlignment="1">
      <alignment horizontal="left"/>
    </xf>
    <xf numFmtId="0" fontId="7" fillId="4" borderId="6" xfId="0" applyFont="1" applyFill="1" applyBorder="1" applyAlignment="1">
      <alignment horizontal="center"/>
    </xf>
    <xf numFmtId="2" fontId="5" fillId="0" borderId="53" xfId="0" applyNumberFormat="1" applyFont="1" applyBorder="1" applyAlignment="1" applyProtection="1">
      <alignment horizontal="right" vertical="center"/>
    </xf>
    <xf numFmtId="0" fontId="5" fillId="0" borderId="0" xfId="0" applyFont="1" applyFill="1" applyBorder="1" applyAlignment="1">
      <alignment horizontal="right"/>
    </xf>
    <xf numFmtId="0" fontId="5" fillId="0" borderId="0" xfId="0" applyFont="1" applyFill="1" applyBorder="1" applyAlignment="1">
      <alignment horizontal="left"/>
    </xf>
    <xf numFmtId="0" fontId="8" fillId="0" borderId="0" xfId="0" applyFont="1" applyFill="1" applyBorder="1" applyAlignment="1">
      <alignment horizontal="right"/>
    </xf>
    <xf numFmtId="2" fontId="18" fillId="0" borderId="0" xfId="0" applyNumberFormat="1" applyFont="1" applyFill="1" applyBorder="1"/>
    <xf numFmtId="166" fontId="18" fillId="0" borderId="0" xfId="0" applyNumberFormat="1" applyFont="1" applyFill="1" applyBorder="1"/>
    <xf numFmtId="0" fontId="5" fillId="5" borderId="18" xfId="0" applyFont="1" applyFill="1" applyBorder="1" applyAlignment="1">
      <alignment horizontal="right"/>
    </xf>
    <xf numFmtId="0" fontId="7" fillId="0" borderId="64" xfId="0" applyFont="1" applyBorder="1" applyAlignment="1">
      <alignment horizontal="right"/>
    </xf>
    <xf numFmtId="0" fontId="7" fillId="0" borderId="64" xfId="0" applyFont="1" applyFill="1" applyBorder="1"/>
    <xf numFmtId="0" fontId="7" fillId="0" borderId="1" xfId="0" applyFont="1" applyFill="1" applyBorder="1"/>
    <xf numFmtId="166" fontId="9" fillId="0" borderId="54" xfId="0" applyNumberFormat="1" applyFont="1" applyBorder="1" applyAlignment="1">
      <alignment horizontal="left"/>
    </xf>
    <xf numFmtId="166" fontId="7" fillId="0" borderId="1" xfId="0" applyNumberFormat="1" applyFont="1" applyBorder="1" applyAlignment="1">
      <alignment horizontal="right"/>
    </xf>
    <xf numFmtId="0" fontId="9" fillId="0" borderId="10" xfId="0" applyFont="1" applyBorder="1" applyAlignment="1">
      <alignment horizontal="left"/>
    </xf>
    <xf numFmtId="0" fontId="8" fillId="8" borderId="17" xfId="0" applyFont="1" applyFill="1" applyBorder="1" applyAlignment="1">
      <alignment horizontal="right"/>
    </xf>
    <xf numFmtId="0" fontId="8" fillId="8" borderId="18" xfId="0" applyFont="1" applyFill="1" applyBorder="1" applyAlignment="1">
      <alignment horizontal="left"/>
    </xf>
    <xf numFmtId="0" fontId="25" fillId="3" borderId="19" xfId="0" applyFont="1" applyFill="1" applyBorder="1" applyAlignment="1">
      <alignment vertical="center"/>
    </xf>
    <xf numFmtId="0" fontId="25" fillId="3" borderId="17" xfId="0" applyFont="1" applyFill="1" applyBorder="1" applyAlignment="1">
      <alignment vertical="center"/>
    </xf>
    <xf numFmtId="0" fontId="25" fillId="3" borderId="18" xfId="0" applyFont="1" applyFill="1" applyBorder="1" applyAlignment="1">
      <alignment vertical="center"/>
    </xf>
    <xf numFmtId="0" fontId="8" fillId="3" borderId="17" xfId="0" applyFont="1" applyFill="1" applyBorder="1"/>
    <xf numFmtId="0" fontId="8" fillId="3" borderId="18" xfId="0" applyFont="1" applyFill="1" applyBorder="1"/>
    <xf numFmtId="0" fontId="79" fillId="0" borderId="0" xfId="0" applyFont="1" applyFill="1" applyBorder="1" applyAlignment="1" applyProtection="1">
      <alignment horizontal="right" vertical="center" indent="1"/>
    </xf>
    <xf numFmtId="165" fontId="9" fillId="0" borderId="0" xfId="0" applyNumberFormat="1" applyFont="1" applyBorder="1"/>
    <xf numFmtId="165" fontId="9" fillId="0" borderId="1" xfId="0" applyNumberFormat="1" applyFont="1" applyBorder="1"/>
    <xf numFmtId="165" fontId="7" fillId="0" borderId="1" xfId="0" applyNumberFormat="1" applyFont="1" applyBorder="1" applyAlignment="1">
      <alignment horizontal="right"/>
    </xf>
    <xf numFmtId="0" fontId="5" fillId="0" borderId="54" xfId="0" applyFont="1" applyBorder="1" applyAlignment="1">
      <alignment horizontal="left"/>
    </xf>
    <xf numFmtId="2" fontId="7" fillId="0" borderId="1" xfId="0" applyNumberFormat="1" applyFont="1" applyFill="1" applyBorder="1" applyAlignment="1">
      <alignment horizontal="right"/>
    </xf>
    <xf numFmtId="2" fontId="7" fillId="0" borderId="64" xfId="0" applyNumberFormat="1" applyFont="1" applyFill="1" applyBorder="1" applyAlignment="1">
      <alignment horizontal="right"/>
    </xf>
    <xf numFmtId="0" fontId="35" fillId="0" borderId="12" xfId="0" applyFont="1" applyFill="1" applyBorder="1" applyAlignment="1">
      <alignment horizontal="right"/>
    </xf>
    <xf numFmtId="0" fontId="36" fillId="0" borderId="0" xfId="0" applyFont="1" applyFill="1" applyBorder="1" applyAlignment="1">
      <alignment horizontal="right"/>
    </xf>
    <xf numFmtId="1" fontId="35" fillId="0" borderId="0" xfId="0" applyNumberFormat="1" applyFont="1" applyFill="1" applyBorder="1" applyAlignment="1">
      <alignment horizontal="left"/>
    </xf>
    <xf numFmtId="2" fontId="38" fillId="0" borderId="0" xfId="0" applyNumberFormat="1" applyFont="1" applyFill="1" applyBorder="1" applyAlignment="1">
      <alignment horizontal="left"/>
    </xf>
    <xf numFmtId="2" fontId="38" fillId="0" borderId="1" xfId="0" applyNumberFormat="1" applyFont="1" applyBorder="1" applyAlignment="1">
      <alignment horizontal="right" vertical="top"/>
    </xf>
    <xf numFmtId="0" fontId="35" fillId="0" borderId="10" xfId="0" applyFont="1" applyBorder="1" applyAlignment="1">
      <alignment horizontal="left" vertical="top"/>
    </xf>
    <xf numFmtId="2" fontId="35" fillId="0" borderId="0" xfId="0" applyNumberFormat="1" applyFont="1" applyBorder="1"/>
    <xf numFmtId="2" fontId="35" fillId="0" borderId="1" xfId="0" applyNumberFormat="1" applyFont="1" applyBorder="1"/>
    <xf numFmtId="2" fontId="38" fillId="0" borderId="60" xfId="1" applyNumberFormat="1" applyFont="1" applyBorder="1" applyAlignment="1">
      <alignment horizontal="right" vertical="center"/>
    </xf>
    <xf numFmtId="1" fontId="38" fillId="0" borderId="12" xfId="0" applyNumberFormat="1" applyFont="1" applyBorder="1" applyAlignment="1">
      <alignment horizontal="right" vertical="center"/>
    </xf>
    <xf numFmtId="165" fontId="38" fillId="0" borderId="60" xfId="0" applyNumberFormat="1" applyFont="1" applyBorder="1" applyAlignment="1">
      <alignment horizontal="right" vertical="center"/>
    </xf>
    <xf numFmtId="0" fontId="36" fillId="7" borderId="62" xfId="0" applyFont="1" applyFill="1" applyBorder="1" applyAlignment="1"/>
    <xf numFmtId="0" fontId="38" fillId="0" borderId="1" xfId="0" applyFont="1" applyFill="1" applyBorder="1" applyAlignment="1">
      <alignment horizontal="right"/>
    </xf>
    <xf numFmtId="0" fontId="35" fillId="0" borderId="6" xfId="0" applyFont="1" applyBorder="1" applyAlignment="1">
      <alignment horizontal="right"/>
    </xf>
    <xf numFmtId="0" fontId="37" fillId="3" borderId="18" xfId="0" applyFont="1" applyFill="1" applyBorder="1" applyAlignment="1">
      <alignment horizontal="right"/>
    </xf>
    <xf numFmtId="0" fontId="36" fillId="0" borderId="55" xfId="0" applyFont="1" applyBorder="1" applyAlignment="1"/>
    <xf numFmtId="0" fontId="35" fillId="0" borderId="60" xfId="0" applyFont="1" applyBorder="1" applyAlignment="1">
      <alignment horizontal="center"/>
    </xf>
    <xf numFmtId="0" fontId="35" fillId="0" borderId="12" xfId="0" applyFont="1" applyBorder="1" applyAlignment="1">
      <alignment horizontal="center"/>
    </xf>
    <xf numFmtId="0" fontId="36" fillId="0" borderId="53" xfId="0" applyFont="1" applyBorder="1" applyAlignment="1">
      <alignment horizontal="left" vertical="center"/>
    </xf>
    <xf numFmtId="2" fontId="35" fillId="0" borderId="60" xfId="0" applyNumberFormat="1" applyFont="1" applyBorder="1" applyAlignment="1">
      <alignment horizontal="center"/>
    </xf>
    <xf numFmtId="2" fontId="35" fillId="0" borderId="12" xfId="0" applyNumberFormat="1" applyFont="1" applyBorder="1" applyAlignment="1">
      <alignment horizontal="center"/>
    </xf>
    <xf numFmtId="2" fontId="38" fillId="0" borderId="12" xfId="0" applyNumberFormat="1" applyFont="1" applyBorder="1" applyAlignment="1">
      <alignment horizontal="right" vertical="top"/>
    </xf>
    <xf numFmtId="0" fontId="80" fillId="0" borderId="0" xfId="0" applyFont="1" applyBorder="1"/>
    <xf numFmtId="0" fontId="35" fillId="0" borderId="52" xfId="0" applyFont="1" applyFill="1" applyBorder="1" applyAlignment="1">
      <alignment wrapText="1"/>
    </xf>
    <xf numFmtId="0" fontId="35" fillId="0" borderId="52" xfId="0" applyFont="1" applyFill="1" applyBorder="1" applyAlignment="1"/>
    <xf numFmtId="0" fontId="35" fillId="0" borderId="52" xfId="0" applyFont="1" applyBorder="1" applyAlignment="1"/>
    <xf numFmtId="165" fontId="35" fillId="0" borderId="0" xfId="0" applyNumberFormat="1" applyFont="1"/>
    <xf numFmtId="1" fontId="5" fillId="0" borderId="0" xfId="0" applyNumberFormat="1" applyFont="1" applyAlignment="1" applyProtection="1"/>
    <xf numFmtId="2" fontId="38" fillId="0" borderId="52" xfId="0" applyNumberFormat="1" applyFont="1" applyBorder="1" applyAlignment="1"/>
    <xf numFmtId="165" fontId="38" fillId="0" borderId="1" xfId="0" applyNumberFormat="1" applyFont="1" applyBorder="1"/>
    <xf numFmtId="0" fontId="35" fillId="0" borderId="1" xfId="0" applyFont="1" applyBorder="1" applyAlignment="1">
      <alignment horizontal="left" vertical="center"/>
    </xf>
    <xf numFmtId="0" fontId="75" fillId="0" borderId="60" xfId="0" applyFont="1" applyBorder="1"/>
    <xf numFmtId="0" fontId="75" fillId="0" borderId="0" xfId="0" applyFont="1" applyBorder="1"/>
    <xf numFmtId="0" fontId="75" fillId="0" borderId="0" xfId="0" applyFont="1" applyBorder="1" applyAlignment="1">
      <alignment horizontal="left"/>
    </xf>
    <xf numFmtId="0" fontId="75" fillId="0" borderId="60" xfId="0" applyFont="1" applyBorder="1" applyAlignment="1">
      <alignment vertical="center"/>
    </xf>
    <xf numFmtId="0" fontId="75" fillId="0" borderId="0" xfId="0" applyFont="1" applyBorder="1" applyAlignment="1">
      <alignment horizontal="left" vertical="center"/>
    </xf>
    <xf numFmtId="165" fontId="80" fillId="0" borderId="0" xfId="0" applyNumberFormat="1" applyFont="1" applyBorder="1" applyAlignment="1">
      <alignment horizontal="right"/>
    </xf>
    <xf numFmtId="165" fontId="80" fillId="0" borderId="0" xfId="0" applyNumberFormat="1" applyFont="1" applyBorder="1"/>
    <xf numFmtId="0" fontId="5" fillId="17" borderId="58" xfId="0" applyFont="1" applyFill="1" applyBorder="1" applyAlignment="1" applyProtection="1">
      <alignment vertical="center"/>
    </xf>
    <xf numFmtId="2" fontId="7" fillId="0" borderId="0" xfId="0" applyNumberFormat="1" applyFont="1" applyBorder="1"/>
    <xf numFmtId="0" fontId="78" fillId="0" borderId="0" xfId="0" applyFont="1" applyBorder="1" applyAlignment="1">
      <alignment horizontal="right"/>
    </xf>
    <xf numFmtId="0" fontId="78" fillId="0" borderId="60" xfId="0" applyFont="1" applyBorder="1"/>
    <xf numFmtId="0" fontId="8" fillId="0" borderId="12" xfId="0" applyFont="1" applyFill="1" applyBorder="1" applyAlignment="1">
      <alignment horizontal="left"/>
    </xf>
    <xf numFmtId="2" fontId="9" fillId="0" borderId="1" xfId="0" applyNumberFormat="1" applyFont="1" applyFill="1" applyBorder="1" applyAlignment="1">
      <alignment horizontal="right"/>
    </xf>
    <xf numFmtId="2" fontId="9" fillId="0" borderId="10" xfId="0" applyNumberFormat="1" applyFont="1" applyFill="1" applyBorder="1" applyAlignment="1">
      <alignment horizontal="right"/>
    </xf>
    <xf numFmtId="0" fontId="8" fillId="5" borderId="17" xfId="0" applyFont="1" applyFill="1" applyBorder="1" applyAlignment="1">
      <alignment horizontal="left"/>
    </xf>
    <xf numFmtId="0" fontId="5" fillId="7" borderId="63" xfId="0" applyFont="1" applyFill="1" applyBorder="1" applyAlignment="1">
      <alignment horizontal="left"/>
    </xf>
    <xf numFmtId="0" fontId="78" fillId="0" borderId="0" xfId="0" applyFont="1" applyBorder="1" applyAlignment="1">
      <alignment horizontal="left"/>
    </xf>
    <xf numFmtId="2" fontId="9" fillId="0" borderId="1" xfId="0" applyNumberFormat="1" applyFont="1" applyFill="1" applyBorder="1" applyAlignment="1">
      <alignment horizontal="left"/>
    </xf>
    <xf numFmtId="2" fontId="7" fillId="0" borderId="0" xfId="0" applyNumberFormat="1" applyFont="1" applyFill="1" applyBorder="1" applyAlignment="1">
      <alignment horizontal="left"/>
    </xf>
    <xf numFmtId="2" fontId="9" fillId="0" borderId="0" xfId="0" applyNumberFormat="1" applyFont="1" applyFill="1" applyBorder="1" applyAlignment="1">
      <alignment horizontal="left"/>
    </xf>
    <xf numFmtId="0" fontId="7" fillId="0" borderId="0" xfId="0" applyFont="1" applyFill="1" applyBorder="1" applyAlignment="1">
      <alignment horizontal="left"/>
    </xf>
    <xf numFmtId="1" fontId="9" fillId="0" borderId="0" xfId="0" applyNumberFormat="1" applyFont="1" applyFill="1" applyBorder="1" applyAlignment="1">
      <alignment horizontal="left" vertical="center"/>
    </xf>
    <xf numFmtId="0" fontId="9" fillId="0" borderId="0" xfId="0" applyFont="1" applyFill="1" applyBorder="1" applyAlignment="1">
      <alignment horizontal="left"/>
    </xf>
    <xf numFmtId="0" fontId="9" fillId="0" borderId="0" xfId="0" applyFont="1" applyFill="1" applyAlignment="1">
      <alignment horizontal="left"/>
    </xf>
    <xf numFmtId="0" fontId="78" fillId="0" borderId="53" xfId="0" applyFont="1" applyBorder="1"/>
    <xf numFmtId="0" fontId="78" fillId="0" borderId="64" xfId="0" applyFont="1" applyBorder="1" applyAlignment="1">
      <alignment horizontal="right"/>
    </xf>
    <xf numFmtId="0" fontId="78" fillId="0" borderId="64" xfId="0" applyFont="1" applyBorder="1" applyAlignment="1">
      <alignment horizontal="left"/>
    </xf>
    <xf numFmtId="0" fontId="78" fillId="0" borderId="54" xfId="0" applyFont="1" applyBorder="1" applyAlignment="1">
      <alignment horizontal="left"/>
    </xf>
    <xf numFmtId="0" fontId="78" fillId="0" borderId="6" xfId="0" applyFont="1" applyBorder="1" applyAlignment="1">
      <alignment horizontal="left"/>
    </xf>
    <xf numFmtId="0" fontId="5" fillId="0" borderId="1" xfId="0" applyFont="1" applyBorder="1" applyAlignment="1">
      <alignment horizontal="left"/>
    </xf>
    <xf numFmtId="0" fontId="38" fillId="0" borderId="0" xfId="0" applyNumberFormat="1" applyFont="1" applyAlignment="1">
      <alignment horizontal="right"/>
    </xf>
    <xf numFmtId="0" fontId="36" fillId="0" borderId="0" xfId="0" applyNumberFormat="1" applyFont="1" applyFill="1" applyBorder="1" applyAlignment="1">
      <alignment horizontal="right"/>
    </xf>
    <xf numFmtId="1" fontId="40" fillId="0" borderId="0" xfId="0" applyNumberFormat="1" applyFont="1" applyBorder="1" applyAlignment="1">
      <alignment horizontal="right"/>
    </xf>
    <xf numFmtId="0" fontId="35" fillId="0" borderId="0" xfId="0" applyNumberFormat="1" applyFont="1" applyFill="1" applyBorder="1" applyAlignment="1">
      <alignment vertical="center"/>
    </xf>
    <xf numFmtId="0" fontId="40" fillId="0" borderId="0" xfId="0" applyNumberFormat="1" applyFont="1" applyFill="1" applyBorder="1"/>
    <xf numFmtId="0" fontId="36" fillId="0" borderId="0" xfId="0" applyFont="1" applyFill="1" applyBorder="1" applyAlignment="1">
      <alignment horizontal="right" vertical="center"/>
    </xf>
    <xf numFmtId="0" fontId="36" fillId="7" borderId="53" xfId="0" applyFont="1" applyFill="1" applyBorder="1" applyAlignment="1"/>
    <xf numFmtId="0" fontId="36" fillId="7" borderId="64" xfId="0" applyFont="1" applyFill="1" applyBorder="1" applyAlignment="1"/>
    <xf numFmtId="0" fontId="36" fillId="7" borderId="64" xfId="0" applyFont="1" applyFill="1" applyBorder="1" applyAlignment="1">
      <alignment horizontal="right"/>
    </xf>
    <xf numFmtId="0" fontId="36" fillId="7" borderId="54" xfId="0" applyFont="1" applyFill="1" applyBorder="1" applyAlignment="1">
      <alignment horizontal="left"/>
    </xf>
    <xf numFmtId="0" fontId="36" fillId="0" borderId="53" xfId="0" applyFont="1" applyFill="1" applyBorder="1" applyAlignment="1"/>
    <xf numFmtId="0" fontId="35" fillId="0" borderId="64" xfId="0" applyNumberFormat="1" applyFont="1" applyBorder="1" applyAlignment="1">
      <alignment horizontal="right"/>
    </xf>
    <xf numFmtId="0" fontId="35" fillId="0" borderId="54" xfId="0" applyFont="1" applyFill="1" applyBorder="1" applyAlignment="1" applyProtection="1">
      <alignment horizontal="left"/>
    </xf>
    <xf numFmtId="0" fontId="35" fillId="0" borderId="1" xfId="0" applyFont="1" applyFill="1" applyBorder="1" applyAlignment="1"/>
    <xf numFmtId="0" fontId="35" fillId="0" borderId="64" xfId="0" applyNumberFormat="1" applyFont="1" applyBorder="1"/>
    <xf numFmtId="2" fontId="38" fillId="0" borderId="0" xfId="0" applyNumberFormat="1" applyFont="1" applyBorder="1" applyAlignment="1"/>
    <xf numFmtId="0" fontId="35" fillId="4" borderId="54" xfId="0" applyFont="1" applyFill="1" applyBorder="1" applyAlignment="1"/>
    <xf numFmtId="2" fontId="43" fillId="0" borderId="54" xfId="0" applyNumberFormat="1" applyFont="1" applyBorder="1" applyAlignment="1"/>
    <xf numFmtId="2" fontId="43" fillId="0" borderId="6" xfId="0" applyNumberFormat="1" applyFont="1" applyBorder="1" applyAlignment="1"/>
    <xf numFmtId="0" fontId="43" fillId="7" borderId="60" xfId="0" applyFont="1" applyFill="1" applyBorder="1" applyAlignment="1"/>
    <xf numFmtId="0" fontId="35" fillId="0" borderId="60" xfId="0" applyFont="1" applyBorder="1" applyAlignment="1">
      <alignment wrapText="1"/>
    </xf>
    <xf numFmtId="0" fontId="43" fillId="0" borderId="54" xfId="0" applyFont="1" applyBorder="1" applyAlignment="1"/>
    <xf numFmtId="0" fontId="36" fillId="0" borderId="57" xfId="0" applyFont="1" applyBorder="1" applyAlignment="1">
      <alignment vertical="center"/>
    </xf>
    <xf numFmtId="2" fontId="40" fillId="0" borderId="63" xfId="0" applyNumberFormat="1" applyFont="1" applyBorder="1" applyAlignment="1">
      <alignment vertical="center"/>
    </xf>
    <xf numFmtId="0" fontId="36" fillId="0" borderId="62" xfId="0" applyFont="1" applyBorder="1" applyAlignment="1">
      <alignment vertical="center"/>
    </xf>
    <xf numFmtId="0" fontId="36" fillId="0" borderId="57" xfId="0" applyFont="1" applyBorder="1"/>
    <xf numFmtId="0" fontId="35" fillId="0" borderId="63" xfId="0" applyFont="1" applyBorder="1" applyAlignment="1">
      <alignment horizontal="center" vertical="center"/>
    </xf>
    <xf numFmtId="0" fontId="36" fillId="0" borderId="63" xfId="0" applyFont="1" applyBorder="1"/>
    <xf numFmtId="0" fontId="36" fillId="0" borderId="58" xfId="0" applyFont="1" applyFill="1" applyBorder="1" applyAlignment="1">
      <alignment vertical="center"/>
    </xf>
    <xf numFmtId="0" fontId="35" fillId="0" borderId="58" xfId="0" applyFont="1" applyFill="1" applyBorder="1" applyAlignment="1">
      <alignment horizontal="left" vertical="center"/>
    </xf>
    <xf numFmtId="0" fontId="35" fillId="0" borderId="58" xfId="0" applyFont="1" applyFill="1" applyBorder="1" applyAlignment="1">
      <alignment vertical="center"/>
    </xf>
    <xf numFmtId="0" fontId="43" fillId="0" borderId="6" xfId="0" applyFont="1" applyFill="1" applyBorder="1" applyAlignment="1">
      <alignment horizontal="right" vertical="center"/>
    </xf>
    <xf numFmtId="0" fontId="8" fillId="0" borderId="12" xfId="0" applyFont="1" applyBorder="1"/>
    <xf numFmtId="0" fontId="81" fillId="0" borderId="60" xfId="0" applyFont="1" applyBorder="1"/>
    <xf numFmtId="0" fontId="5" fillId="5" borderId="34" xfId="0" applyFont="1" applyFill="1" applyBorder="1"/>
    <xf numFmtId="0" fontId="5" fillId="0" borderId="57" xfId="0" applyFont="1" applyBorder="1"/>
    <xf numFmtId="0" fontId="5" fillId="0" borderId="63" xfId="0" applyFont="1" applyBorder="1"/>
    <xf numFmtId="1" fontId="7" fillId="0" borderId="63" xfId="0" applyNumberFormat="1" applyFont="1" applyBorder="1"/>
    <xf numFmtId="0" fontId="5" fillId="0" borderId="62" xfId="0" applyFont="1" applyBorder="1"/>
    <xf numFmtId="0" fontId="7" fillId="0" borderId="64" xfId="0" applyFont="1" applyBorder="1"/>
    <xf numFmtId="0" fontId="9" fillId="0" borderId="0" xfId="0" applyFont="1" applyFill="1" applyBorder="1" applyAlignment="1"/>
    <xf numFmtId="0" fontId="9" fillId="0" borderId="58" xfId="0" applyFont="1" applyBorder="1" applyAlignment="1">
      <alignment horizontal="right"/>
    </xf>
    <xf numFmtId="2" fontId="7" fillId="0" borderId="0" xfId="0" applyNumberFormat="1" applyFont="1" applyFill="1" applyBorder="1"/>
    <xf numFmtId="0" fontId="8" fillId="0" borderId="64" xfId="0" applyFont="1" applyBorder="1"/>
    <xf numFmtId="2" fontId="18" fillId="0" borderId="64" xfId="0" applyNumberFormat="1" applyFont="1" applyFill="1" applyBorder="1"/>
    <xf numFmtId="1" fontId="7" fillId="0" borderId="0" xfId="0" applyNumberFormat="1" applyFont="1" applyFill="1" applyBorder="1" applyAlignment="1">
      <alignment horizontal="right"/>
    </xf>
    <xf numFmtId="0" fontId="5" fillId="0" borderId="0" xfId="0" applyFont="1" applyAlignment="1">
      <alignment horizontal="center"/>
    </xf>
    <xf numFmtId="0" fontId="5" fillId="3" borderId="17" xfId="0" applyFont="1" applyFill="1" applyBorder="1" applyAlignment="1">
      <alignment horizontal="center"/>
    </xf>
    <xf numFmtId="0" fontId="5" fillId="0" borderId="0" xfId="0" applyFont="1" applyBorder="1" applyAlignment="1">
      <alignment horizontal="center"/>
    </xf>
    <xf numFmtId="165" fontId="5" fillId="0" borderId="0" xfId="0" applyNumberFormat="1" applyFont="1" applyBorder="1" applyAlignment="1">
      <alignment horizontal="center"/>
    </xf>
    <xf numFmtId="165" fontId="5" fillId="0" borderId="1" xfId="0" applyNumberFormat="1" applyFont="1" applyBorder="1" applyAlignment="1">
      <alignment horizontal="center"/>
    </xf>
    <xf numFmtId="0" fontId="5" fillId="0" borderId="0" xfId="0" applyFont="1" applyFill="1" applyAlignment="1">
      <alignment horizontal="center"/>
    </xf>
    <xf numFmtId="165" fontId="5" fillId="0" borderId="1" xfId="0" applyNumberFormat="1" applyFont="1" applyFill="1" applyBorder="1" applyAlignment="1">
      <alignment horizontal="center"/>
    </xf>
    <xf numFmtId="0" fontId="8" fillId="0" borderId="0" xfId="0" applyFont="1" applyBorder="1" applyAlignment="1">
      <alignment horizontal="center"/>
    </xf>
    <xf numFmtId="0" fontId="82" fillId="0" borderId="60" xfId="0" applyFont="1" applyBorder="1"/>
    <xf numFmtId="0" fontId="8" fillId="0" borderId="55" xfId="0" applyFont="1" applyBorder="1" applyAlignment="1">
      <alignment horizontal="right"/>
    </xf>
    <xf numFmtId="2" fontId="8" fillId="0" borderId="0" xfId="0" applyNumberFormat="1" applyFont="1" applyFill="1" applyBorder="1" applyAlignment="1">
      <alignment horizontal="center"/>
    </xf>
    <xf numFmtId="0" fontId="8" fillId="0" borderId="1" xfId="0" applyFont="1" applyBorder="1"/>
    <xf numFmtId="2" fontId="8" fillId="0" borderId="0" xfId="0" applyNumberFormat="1" applyFont="1" applyBorder="1" applyAlignment="1">
      <alignment horizontal="center"/>
    </xf>
    <xf numFmtId="1" fontId="7" fillId="0" borderId="55" xfId="0" applyNumberFormat="1" applyFont="1" applyBorder="1"/>
    <xf numFmtId="0" fontId="8" fillId="0" borderId="1" xfId="0" applyFont="1" applyFill="1" applyBorder="1" applyAlignment="1">
      <alignment horizontal="center"/>
    </xf>
    <xf numFmtId="0" fontId="8" fillId="0" borderId="0" xfId="0" applyFont="1" applyFill="1" applyBorder="1" applyAlignment="1">
      <alignment horizontal="center"/>
    </xf>
    <xf numFmtId="0" fontId="8" fillId="0" borderId="64" xfId="0" applyFont="1" applyBorder="1" applyAlignment="1">
      <alignment horizontal="center"/>
    </xf>
    <xf numFmtId="0" fontId="8" fillId="0" borderId="54" xfId="0" applyFont="1" applyBorder="1" applyAlignment="1">
      <alignment horizontal="center"/>
    </xf>
    <xf numFmtId="166" fontId="7" fillId="0" borderId="0" xfId="0" applyNumberFormat="1" applyFont="1" applyBorder="1" applyAlignment="1">
      <alignment horizontal="center"/>
    </xf>
    <xf numFmtId="2" fontId="7" fillId="0" borderId="0" xfId="0" applyNumberFormat="1" applyFont="1" applyBorder="1" applyAlignment="1">
      <alignment horizontal="center"/>
    </xf>
    <xf numFmtId="0" fontId="9" fillId="0" borderId="6" xfId="0" applyFont="1" applyBorder="1" applyAlignment="1">
      <alignment horizontal="center"/>
    </xf>
    <xf numFmtId="0" fontId="5" fillId="0" borderId="6" xfId="0" applyFont="1" applyBorder="1" applyAlignment="1">
      <alignment horizontal="center"/>
    </xf>
    <xf numFmtId="0" fontId="83" fillId="0" borderId="0" xfId="0" applyFont="1" applyBorder="1" applyAlignment="1">
      <alignment horizontal="center"/>
    </xf>
    <xf numFmtId="0" fontId="36" fillId="0" borderId="60" xfId="0" applyNumberFormat="1" applyFont="1" applyBorder="1" applyAlignment="1">
      <alignment horizontal="left" indent="4"/>
    </xf>
    <xf numFmtId="1" fontId="40" fillId="0" borderId="52" xfId="0" applyNumberFormat="1" applyFont="1" applyBorder="1" applyAlignment="1"/>
    <xf numFmtId="0" fontId="40" fillId="0" borderId="52" xfId="0" applyFont="1" applyBorder="1" applyAlignment="1"/>
    <xf numFmtId="0" fontId="43" fillId="0" borderId="52" xfId="0" applyFont="1" applyBorder="1" applyAlignment="1"/>
    <xf numFmtId="0" fontId="38" fillId="0" borderId="52" xfId="0" applyFont="1" applyBorder="1" applyAlignment="1"/>
    <xf numFmtId="165" fontId="38" fillId="0" borderId="52" xfId="0" applyNumberFormat="1" applyFont="1" applyBorder="1" applyAlignment="1"/>
    <xf numFmtId="1" fontId="38" fillId="0" borderId="52" xfId="0" applyNumberFormat="1" applyFont="1" applyBorder="1" applyAlignment="1"/>
    <xf numFmtId="0" fontId="39" fillId="5" borderId="22" xfId="0" applyFont="1" applyFill="1" applyBorder="1" applyAlignment="1">
      <alignment vertical="center"/>
    </xf>
    <xf numFmtId="0" fontId="39" fillId="5" borderId="14" xfId="0" applyFont="1" applyFill="1" applyBorder="1" applyAlignment="1">
      <alignment vertical="center"/>
    </xf>
    <xf numFmtId="0" fontId="39" fillId="5" borderId="15" xfId="0" applyFont="1" applyFill="1" applyBorder="1" applyAlignment="1">
      <alignment vertical="center"/>
    </xf>
    <xf numFmtId="0" fontId="36" fillId="0" borderId="53" xfId="0" applyFont="1" applyFill="1" applyBorder="1" applyAlignment="1">
      <alignment horizontal="center"/>
    </xf>
    <xf numFmtId="0" fontId="36" fillId="0" borderId="64" xfId="0" applyFont="1" applyFill="1" applyBorder="1" applyAlignment="1">
      <alignment horizontal="center"/>
    </xf>
    <xf numFmtId="0" fontId="40" fillId="0" borderId="64" xfId="0" applyFont="1" applyFill="1" applyBorder="1" applyAlignment="1">
      <alignment horizontal="center"/>
    </xf>
    <xf numFmtId="0" fontId="39" fillId="0" borderId="6" xfId="0" applyFont="1" applyBorder="1" applyAlignment="1"/>
    <xf numFmtId="0" fontId="39" fillId="0" borderId="12" xfId="0" applyFont="1" applyBorder="1" applyAlignment="1"/>
    <xf numFmtId="0" fontId="39" fillId="0" borderId="1" xfId="0" applyFont="1" applyBorder="1" applyAlignment="1"/>
    <xf numFmtId="0" fontId="36" fillId="0" borderId="1" xfId="0" applyFont="1" applyBorder="1" applyAlignment="1"/>
    <xf numFmtId="2" fontId="39" fillId="0" borderId="1" xfId="0" applyNumberFormat="1" applyFont="1" applyBorder="1" applyAlignment="1"/>
    <xf numFmtId="0" fontId="39" fillId="0" borderId="10" xfId="0" applyFont="1" applyBorder="1" applyAlignment="1"/>
    <xf numFmtId="0" fontId="5" fillId="5" borderId="74" xfId="0" applyFont="1" applyFill="1" applyBorder="1"/>
    <xf numFmtId="0" fontId="8" fillId="0" borderId="24" xfId="0" applyFont="1" applyBorder="1" applyAlignment="1">
      <alignment horizontal="right"/>
    </xf>
    <xf numFmtId="2" fontId="7" fillId="0" borderId="0" xfId="0" applyNumberFormat="1" applyFont="1" applyFill="1" applyBorder="1" applyAlignment="1" applyProtection="1">
      <alignment horizontal="left" vertical="center"/>
    </xf>
    <xf numFmtId="0" fontId="38" fillId="0" borderId="6" xfId="0" applyFont="1" applyFill="1" applyBorder="1" applyAlignment="1" applyProtection="1">
      <alignment vertical="center"/>
    </xf>
    <xf numFmtId="0" fontId="5" fillId="0" borderId="74" xfId="0" applyFont="1" applyBorder="1"/>
    <xf numFmtId="0" fontId="5" fillId="0" borderId="24" xfId="0" applyFont="1" applyBorder="1"/>
    <xf numFmtId="0" fontId="5" fillId="0" borderId="87" xfId="0" applyFont="1" applyBorder="1"/>
    <xf numFmtId="166" fontId="38" fillId="0" borderId="0" xfId="0" applyNumberFormat="1" applyFont="1" applyFill="1" applyBorder="1" applyAlignment="1"/>
    <xf numFmtId="0" fontId="60" fillId="0" borderId="52" xfId="0" applyFont="1" applyBorder="1" applyAlignment="1">
      <alignment horizontal="center"/>
    </xf>
    <xf numFmtId="0" fontId="84" fillId="8" borderId="53" xfId="0" applyFont="1" applyFill="1" applyBorder="1" applyAlignment="1"/>
    <xf numFmtId="0" fontId="84" fillId="8" borderId="64" xfId="0" applyFont="1" applyFill="1" applyBorder="1" applyAlignment="1"/>
    <xf numFmtId="0" fontId="35" fillId="7" borderId="86" xfId="0" applyFont="1" applyFill="1" applyBorder="1" applyAlignment="1">
      <alignment horizontal="center"/>
    </xf>
    <xf numFmtId="0" fontId="35" fillId="7" borderId="59" xfId="0" applyFont="1" applyFill="1" applyBorder="1" applyAlignment="1">
      <alignment horizontal="center"/>
    </xf>
    <xf numFmtId="0" fontId="35" fillId="7" borderId="68" xfId="0" applyFont="1" applyFill="1" applyBorder="1" applyAlignment="1">
      <alignment horizontal="center"/>
    </xf>
    <xf numFmtId="0" fontId="35" fillId="7" borderId="60" xfId="0" applyFont="1" applyFill="1" applyBorder="1" applyAlignment="1">
      <alignment horizontal="center"/>
    </xf>
    <xf numFmtId="0" fontId="35" fillId="7" borderId="0" xfId="0" applyFont="1" applyFill="1" applyBorder="1" applyAlignment="1">
      <alignment horizontal="center"/>
    </xf>
    <xf numFmtId="0" fontId="35" fillId="7" borderId="6" xfId="0" applyFont="1" applyFill="1" applyBorder="1" applyAlignment="1">
      <alignment horizontal="center"/>
    </xf>
    <xf numFmtId="0" fontId="18" fillId="0" borderId="0" xfId="0" applyFont="1" applyAlignment="1" applyProtection="1">
      <alignment vertical="center"/>
    </xf>
    <xf numFmtId="0" fontId="39" fillId="5" borderId="27" xfId="0" applyFont="1" applyFill="1" applyBorder="1" applyAlignment="1"/>
    <xf numFmtId="0" fontId="35" fillId="5" borderId="74" xfId="0" applyFont="1" applyFill="1" applyBorder="1" applyAlignment="1">
      <alignment horizontal="right"/>
    </xf>
    <xf numFmtId="0" fontId="35" fillId="5" borderId="24" xfId="0" applyFont="1" applyFill="1" applyBorder="1" applyAlignment="1">
      <alignment horizontal="right"/>
    </xf>
    <xf numFmtId="0" fontId="35" fillId="5" borderId="24" xfId="0" applyFont="1" applyFill="1" applyBorder="1" applyAlignment="1">
      <alignment horizontal="left"/>
    </xf>
    <xf numFmtId="0" fontId="35" fillId="0" borderId="24" xfId="0" applyFont="1" applyBorder="1" applyAlignment="1"/>
    <xf numFmtId="0" fontId="35" fillId="0" borderId="87" xfId="0" applyFont="1" applyBorder="1" applyAlignment="1"/>
    <xf numFmtId="0" fontId="35" fillId="0" borderId="74" xfId="0" applyFont="1" applyBorder="1" applyAlignment="1"/>
    <xf numFmtId="0" fontId="35" fillId="5" borderId="24" xfId="0" applyFont="1" applyFill="1" applyBorder="1" applyAlignment="1"/>
    <xf numFmtId="0" fontId="35" fillId="5" borderId="25" xfId="0" applyFont="1" applyFill="1" applyBorder="1" applyAlignment="1"/>
    <xf numFmtId="2" fontId="38" fillId="0" borderId="60" xfId="0" applyNumberFormat="1" applyFont="1" applyFill="1" applyBorder="1" applyAlignment="1">
      <alignment horizontal="center"/>
    </xf>
    <xf numFmtId="1" fontId="38" fillId="0" borderId="60" xfId="0" applyNumberFormat="1" applyFont="1" applyFill="1" applyBorder="1" applyAlignment="1">
      <alignment horizontal="center"/>
    </xf>
    <xf numFmtId="0" fontId="35" fillId="0" borderId="8" xfId="0" applyFont="1" applyBorder="1" applyAlignment="1">
      <alignment horizontal="left"/>
    </xf>
    <xf numFmtId="0" fontId="5" fillId="14" borderId="6" xfId="0" applyFont="1" applyFill="1" applyBorder="1" applyAlignment="1" applyProtection="1">
      <alignment vertical="center"/>
    </xf>
    <xf numFmtId="0" fontId="18" fillId="0" borderId="0" xfId="0" applyFont="1" applyFill="1" applyAlignment="1" applyProtection="1">
      <alignment vertical="center"/>
    </xf>
    <xf numFmtId="0" fontId="85" fillId="0" borderId="52" xfId="0" applyFont="1" applyBorder="1" applyAlignment="1" applyProtection="1">
      <alignment horizontal="center" vertical="center"/>
    </xf>
    <xf numFmtId="0" fontId="15" fillId="0" borderId="0" xfId="0" applyFont="1" applyBorder="1" applyAlignment="1" applyProtection="1">
      <alignment vertical="center"/>
    </xf>
    <xf numFmtId="2" fontId="14" fillId="0" borderId="0" xfId="0" applyNumberFormat="1" applyFont="1" applyBorder="1" applyAlignment="1" applyProtection="1">
      <alignment horizontal="right" vertical="center"/>
    </xf>
    <xf numFmtId="2" fontId="14" fillId="0" borderId="0" xfId="0" applyNumberFormat="1" applyFont="1" applyBorder="1" applyAlignment="1" applyProtection="1">
      <alignment horizontal="center" vertical="center"/>
    </xf>
    <xf numFmtId="0" fontId="35" fillId="0" borderId="0" xfId="0" applyFont="1" applyAlignment="1">
      <alignment horizontal="right" vertical="center"/>
    </xf>
    <xf numFmtId="0" fontId="38" fillId="0" borderId="0" xfId="0" applyFont="1" applyAlignment="1">
      <alignment vertical="center"/>
    </xf>
    <xf numFmtId="1" fontId="35" fillId="0" borderId="60" xfId="0" applyNumberFormat="1" applyFont="1" applyBorder="1" applyAlignment="1">
      <alignment horizontal="right" vertical="center"/>
    </xf>
    <xf numFmtId="1" fontId="35" fillId="0" borderId="0" xfId="0" applyNumberFormat="1" applyFont="1" applyBorder="1" applyAlignment="1">
      <alignment horizontal="right" vertical="center"/>
    </xf>
    <xf numFmtId="1" fontId="35" fillId="0" borderId="6" xfId="0" applyNumberFormat="1" applyFont="1" applyBorder="1" applyAlignment="1">
      <alignment horizontal="right" vertical="center"/>
    </xf>
    <xf numFmtId="1" fontId="35" fillId="0" borderId="12" xfId="0" applyNumberFormat="1" applyFont="1" applyBorder="1" applyAlignment="1">
      <alignment horizontal="right" vertical="center"/>
    </xf>
    <xf numFmtId="1" fontId="35" fillId="0" borderId="1" xfId="0" applyNumberFormat="1" applyFont="1" applyBorder="1" applyAlignment="1">
      <alignment horizontal="right" vertical="center"/>
    </xf>
    <xf numFmtId="1" fontId="35" fillId="0" borderId="10" xfId="0" applyNumberFormat="1" applyFont="1" applyBorder="1" applyAlignment="1">
      <alignment horizontal="right" vertical="center"/>
    </xf>
    <xf numFmtId="165" fontId="39" fillId="8" borderId="0" xfId="0" applyNumberFormat="1" applyFont="1" applyFill="1" applyBorder="1" applyAlignment="1">
      <alignment vertical="center"/>
    </xf>
    <xf numFmtId="0" fontId="38" fillId="0" borderId="53" xfId="0" applyFont="1" applyBorder="1" applyAlignment="1">
      <alignment horizontal="right" vertical="center"/>
    </xf>
    <xf numFmtId="0" fontId="58" fillId="0" borderId="58" xfId="0" applyFont="1" applyBorder="1" applyAlignment="1">
      <alignment vertical="center"/>
    </xf>
    <xf numFmtId="0" fontId="58" fillId="0" borderId="60" xfId="0" applyFont="1" applyBorder="1"/>
    <xf numFmtId="0" fontId="38" fillId="0" borderId="64" xfId="0" applyFont="1" applyBorder="1" applyAlignment="1">
      <alignment vertical="center"/>
    </xf>
    <xf numFmtId="0" fontId="36" fillId="0" borderId="60" xfId="0" applyFont="1" applyBorder="1" applyAlignment="1">
      <alignment horizontal="right" vertical="center"/>
    </xf>
    <xf numFmtId="0" fontId="36" fillId="0" borderId="58" xfId="0" applyFont="1" applyBorder="1" applyAlignment="1">
      <alignment horizontal="right" vertical="center"/>
    </xf>
    <xf numFmtId="1" fontId="36" fillId="0" borderId="60" xfId="0" applyNumberFormat="1" applyFont="1" applyBorder="1" applyAlignment="1">
      <alignment horizontal="right" vertical="center"/>
    </xf>
    <xf numFmtId="0" fontId="7" fillId="0" borderId="0" xfId="0" applyFont="1" applyAlignment="1" applyProtection="1">
      <alignment vertical="center"/>
    </xf>
    <xf numFmtId="0" fontId="15" fillId="0" borderId="6" xfId="0" applyFont="1" applyBorder="1" applyAlignment="1" applyProtection="1">
      <alignment vertical="center"/>
    </xf>
    <xf numFmtId="0" fontId="86" fillId="0" borderId="0" xfId="0" applyFont="1" applyBorder="1" applyAlignment="1" applyProtection="1">
      <alignment vertical="center"/>
    </xf>
    <xf numFmtId="2" fontId="85" fillId="0" borderId="0" xfId="0" applyNumberFormat="1" applyFont="1" applyAlignment="1" applyProtection="1">
      <alignment horizontal="left" vertical="center"/>
    </xf>
    <xf numFmtId="0" fontId="50" fillId="15" borderId="58" xfId="0" applyFont="1" applyFill="1" applyBorder="1" applyAlignment="1" applyProtection="1">
      <alignment vertical="center"/>
    </xf>
    <xf numFmtId="0" fontId="50" fillId="15" borderId="60" xfId="0" applyFont="1" applyFill="1" applyBorder="1" applyAlignment="1" applyProtection="1">
      <alignment vertical="center"/>
    </xf>
    <xf numFmtId="166" fontId="62" fillId="0" borderId="0" xfId="0" applyNumberFormat="1" applyFont="1" applyBorder="1" applyAlignment="1" applyProtection="1">
      <alignment horizontal="center" vertical="center"/>
    </xf>
    <xf numFmtId="0" fontId="50" fillId="15" borderId="0" xfId="0" applyFont="1" applyFill="1" applyBorder="1" applyAlignment="1" applyProtection="1">
      <alignment vertical="center"/>
    </xf>
    <xf numFmtId="0" fontId="50" fillId="15" borderId="1" xfId="0" applyFont="1" applyFill="1" applyBorder="1" applyAlignment="1" applyProtection="1">
      <alignment vertical="center"/>
    </xf>
    <xf numFmtId="0" fontId="5" fillId="17" borderId="10" xfId="0" applyFont="1" applyFill="1" applyBorder="1" applyAlignment="1" applyProtection="1">
      <alignment vertical="center"/>
    </xf>
    <xf numFmtId="0" fontId="10" fillId="0" borderId="57"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xf>
    <xf numFmtId="0" fontId="27" fillId="0" borderId="0" xfId="0" applyFont="1" applyAlignment="1" applyProtection="1">
      <alignment horizontal="center" vertical="center"/>
    </xf>
    <xf numFmtId="0" fontId="18" fillId="0" borderId="0" xfId="0" applyFont="1" applyBorder="1" applyAlignment="1" applyProtection="1">
      <alignment horizontal="right" vertical="top"/>
    </xf>
    <xf numFmtId="0" fontId="18" fillId="0" borderId="60" xfId="0" applyFont="1" applyBorder="1" applyAlignment="1" applyProtection="1">
      <alignment horizontal="center" vertical="center"/>
    </xf>
    <xf numFmtId="0" fontId="18" fillId="0" borderId="6" xfId="0" applyFont="1" applyBorder="1" applyAlignment="1" applyProtection="1">
      <alignment horizontal="center" vertical="center"/>
    </xf>
    <xf numFmtId="0" fontId="35" fillId="7" borderId="53" xfId="0" applyFont="1" applyFill="1" applyBorder="1" applyAlignment="1">
      <alignment horizontal="center"/>
    </xf>
    <xf numFmtId="0" fontId="35" fillId="7" borderId="64" xfId="0" applyFont="1" applyFill="1" applyBorder="1" applyAlignment="1">
      <alignment horizontal="center"/>
    </xf>
    <xf numFmtId="0" fontId="35" fillId="7" borderId="57" xfId="0" applyFont="1" applyFill="1" applyBorder="1" applyAlignment="1">
      <alignment horizontal="center"/>
    </xf>
    <xf numFmtId="0" fontId="35" fillId="7" borderId="63" xfId="0" applyFont="1" applyFill="1" applyBorder="1" applyAlignment="1">
      <alignment horizontal="center"/>
    </xf>
    <xf numFmtId="0" fontId="35" fillId="7" borderId="62" xfId="0" applyFont="1" applyFill="1" applyBorder="1" applyAlignment="1">
      <alignment horizontal="center"/>
    </xf>
    <xf numFmtId="0" fontId="35" fillId="7" borderId="54" xfId="0" applyFont="1" applyFill="1" applyBorder="1" applyAlignment="1">
      <alignment horizontal="center"/>
    </xf>
    <xf numFmtId="0" fontId="35" fillId="7" borderId="12" xfId="0" applyFont="1" applyFill="1" applyBorder="1" applyAlignment="1">
      <alignment horizontal="center"/>
    </xf>
    <xf numFmtId="0" fontId="35" fillId="7" borderId="1" xfId="0" applyFont="1" applyFill="1" applyBorder="1" applyAlignment="1">
      <alignment horizontal="center"/>
    </xf>
    <xf numFmtId="0" fontId="35" fillId="7" borderId="10" xfId="0" applyFont="1" applyFill="1" applyBorder="1" applyAlignment="1">
      <alignment horizontal="center"/>
    </xf>
    <xf numFmtId="0" fontId="35" fillId="7" borderId="86" xfId="0" applyFont="1" applyFill="1" applyBorder="1" applyAlignment="1">
      <alignment horizontal="center"/>
    </xf>
    <xf numFmtId="0" fontId="35" fillId="7" borderId="59" xfId="0" applyFont="1" applyFill="1" applyBorder="1" applyAlignment="1">
      <alignment horizontal="center"/>
    </xf>
    <xf numFmtId="0" fontId="35" fillId="7" borderId="68" xfId="0" applyFont="1" applyFill="1" applyBorder="1" applyAlignment="1">
      <alignment horizontal="center"/>
    </xf>
    <xf numFmtId="0" fontId="36" fillId="7" borderId="57" xfId="0" applyNumberFormat="1" applyFont="1" applyFill="1" applyBorder="1" applyAlignment="1">
      <alignment horizontal="left"/>
    </xf>
    <xf numFmtId="0" fontId="36" fillId="7" borderId="63" xfId="0" applyNumberFormat="1" applyFont="1" applyFill="1" applyBorder="1" applyAlignment="1">
      <alignment horizontal="left"/>
    </xf>
    <xf numFmtId="0" fontId="36" fillId="7" borderId="62" xfId="0" applyNumberFormat="1" applyFont="1" applyFill="1" applyBorder="1" applyAlignment="1">
      <alignment horizontal="left"/>
    </xf>
    <xf numFmtId="0" fontId="0" fillId="0" borderId="77" xfId="0" applyBorder="1" applyAlignment="1">
      <alignment horizontal="center"/>
    </xf>
    <xf numFmtId="0" fontId="46" fillId="0" borderId="0" xfId="0" applyFont="1" applyAlignment="1" applyProtection="1">
      <alignment horizontal="center" vertical="center"/>
    </xf>
    <xf numFmtId="0" fontId="46" fillId="0" borderId="0" xfId="0" applyFont="1" applyAlignment="1" applyProtection="1">
      <alignment horizontal="left" vertical="center"/>
    </xf>
    <xf numFmtId="0" fontId="88" fillId="0" borderId="0" xfId="5" applyFont="1" applyAlignment="1" applyProtection="1">
      <alignment horizontal="left" vertical="center"/>
    </xf>
    <xf numFmtId="0" fontId="88" fillId="0" borderId="0" xfId="5" applyFont="1" applyAlignment="1" applyProtection="1">
      <alignment horizontal="center" vertical="center"/>
    </xf>
    <xf numFmtId="0" fontId="89" fillId="0" borderId="0" xfId="0" applyFont="1" applyAlignment="1" applyProtection="1">
      <alignment horizontal="left" vertical="center"/>
    </xf>
  </cellXfs>
  <cellStyles count="6">
    <cellStyle name="Hyperlink" xfId="5" builtinId="8"/>
    <cellStyle name="Komma" xfId="1" builtinId="3"/>
    <cellStyle name="Komma 2" xfId="4"/>
    <cellStyle name="Standaard" xfId="0" builtinId="0"/>
    <cellStyle name="Standaard 2" xfId="3"/>
    <cellStyle name="Standaard 3" xfId="2"/>
  </cellStyles>
  <dxfs count="58">
    <dxf>
      <font>
        <color theme="0"/>
      </font>
    </dxf>
    <dxf>
      <font>
        <color theme="0"/>
      </font>
    </dxf>
    <dxf>
      <font>
        <color theme="0"/>
      </font>
    </dxf>
    <dxf>
      <font>
        <color theme="0"/>
      </font>
    </dxf>
    <dxf>
      <font>
        <color theme="0"/>
      </font>
      <border>
        <left/>
        <top/>
        <bottom/>
        <vertical/>
        <horizontal/>
      </border>
    </dxf>
    <dxf>
      <font>
        <color theme="0"/>
      </font>
      <border>
        <left/>
        <right/>
        <top/>
        <bottom/>
        <vertical/>
        <horizontal/>
      </border>
    </dxf>
    <dxf>
      <font>
        <color theme="0"/>
      </font>
      <border>
        <left/>
        <top/>
        <bottom/>
        <vertical/>
        <horizontal/>
      </border>
    </dxf>
    <dxf>
      <font>
        <color theme="0"/>
      </font>
      <border>
        <left/>
        <right/>
        <top/>
        <bottom/>
        <vertical/>
        <horizontal/>
      </border>
    </dxf>
    <dxf>
      <font>
        <color theme="0"/>
      </font>
      <border>
        <left/>
        <right/>
        <bottom/>
      </border>
    </dxf>
    <dxf>
      <font>
        <color theme="0"/>
      </font>
    </dxf>
    <dxf>
      <font>
        <color theme="0"/>
      </font>
      <border>
        <left/>
        <right/>
        <top/>
        <bottom/>
        <vertical/>
        <horizontal/>
      </border>
    </dxf>
    <dxf>
      <font>
        <b/>
        <i val="0"/>
        <color theme="4"/>
      </font>
      <border>
        <right style="thin">
          <color auto="1"/>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theme="0"/>
      </font>
      <border>
        <left/>
        <bottom/>
        <vertical/>
        <horizontal/>
      </border>
    </dxf>
    <dxf>
      <font>
        <color theme="0"/>
      </font>
      <border>
        <left/>
        <bottom/>
        <vertical/>
        <horizontal/>
      </border>
    </dxf>
    <dxf>
      <font>
        <color theme="0"/>
      </font>
      <border>
        <left/>
        <bottom/>
        <vertical/>
        <horizontal/>
      </border>
    </dxf>
    <dxf>
      <font>
        <color theme="0"/>
      </font>
    </dxf>
    <dxf>
      <font>
        <color theme="0"/>
      </font>
    </dxf>
    <dxf>
      <font>
        <color theme="0"/>
      </font>
      <border>
        <right/>
        <bottom/>
        <vertical/>
        <horizontal/>
      </border>
    </dxf>
    <dxf>
      <font>
        <color theme="0"/>
      </font>
      <border>
        <right/>
        <top/>
        <bottom/>
        <vertical/>
        <horizontal/>
      </border>
    </dxf>
    <dxf>
      <font>
        <color theme="0"/>
      </font>
      <border>
        <right/>
        <bottom/>
        <vertical/>
        <horizontal/>
      </border>
    </dxf>
    <dxf>
      <font>
        <color theme="0"/>
      </font>
      <border>
        <right/>
        <bottom/>
        <vertical/>
        <horizontal/>
      </border>
    </dxf>
    <dxf>
      <font>
        <color theme="0"/>
      </font>
      <border>
        <left/>
        <right/>
        <bottom/>
        <vertical/>
        <horizontal/>
      </border>
    </dxf>
    <dxf>
      <font>
        <color theme="0"/>
      </font>
      <border>
        <left/>
        <right/>
        <bottom/>
        <vertical/>
        <horizontal/>
      </border>
    </dxf>
    <dxf>
      <font>
        <b/>
        <i val="0"/>
        <color theme="4"/>
      </font>
      <border>
        <right style="thin">
          <color auto="1"/>
        </right>
        <top style="thin">
          <color auto="1"/>
        </top>
        <bottom style="thin">
          <color auto="1"/>
        </bottom>
        <vertical/>
        <horizontal/>
      </border>
    </dxf>
    <dxf>
      <font>
        <b/>
        <i val="0"/>
        <color theme="4"/>
      </font>
      <border>
        <right style="thin">
          <color auto="1"/>
        </right>
        <top style="thin">
          <color auto="1"/>
        </top>
        <bottom style="thin">
          <color auto="1"/>
        </bottom>
        <vertical/>
        <horizontal/>
      </border>
    </dxf>
    <dxf>
      <font>
        <b/>
        <i val="0"/>
        <color theme="4"/>
      </font>
      <border>
        <right style="thin">
          <color auto="1"/>
        </right>
        <top style="thin">
          <color auto="1"/>
        </top>
        <bottom style="thin">
          <color auto="1"/>
        </bottom>
        <vertical/>
        <horizontal/>
      </border>
    </dxf>
    <dxf>
      <font>
        <b/>
        <i val="0"/>
        <color theme="4"/>
      </font>
      <border>
        <right style="thin">
          <color auto="1"/>
        </right>
        <top style="thin">
          <color auto="1"/>
        </top>
        <bottom style="thin">
          <color auto="1"/>
        </bottom>
        <vertical/>
        <horizontal/>
      </border>
    </dxf>
    <dxf>
      <font>
        <b/>
        <i val="0"/>
        <color theme="4"/>
      </font>
      <border>
        <right style="thin">
          <color auto="1"/>
        </right>
        <top style="thin">
          <color auto="1"/>
        </top>
        <bottom style="thin">
          <color auto="1"/>
        </bottom>
        <vertical/>
        <horizontal/>
      </border>
    </dxf>
    <dxf>
      <font>
        <b/>
        <i val="0"/>
        <color theme="4"/>
      </font>
      <border>
        <right style="thin">
          <color auto="1"/>
        </right>
        <top style="thin">
          <color auto="1"/>
        </top>
        <bottom style="thin">
          <color auto="1"/>
        </bottom>
        <vertical/>
        <horizontal/>
      </border>
    </dxf>
    <dxf>
      <font>
        <color theme="0"/>
      </font>
      <border>
        <left/>
        <right/>
        <top/>
        <vertical/>
        <horizontal/>
      </border>
    </dxf>
    <dxf>
      <font>
        <color theme="0"/>
      </font>
      <border>
        <left/>
        <right/>
        <top/>
        <vertical/>
        <horizontal/>
      </border>
    </dxf>
    <dxf>
      <font>
        <color theme="0"/>
      </font>
    </dxf>
    <dxf>
      <font>
        <color theme="0"/>
      </font>
      <border>
        <left/>
        <right/>
        <top/>
        <vertical/>
        <horizontal/>
      </border>
    </dxf>
    <dxf>
      <fill>
        <patternFill patternType="none">
          <bgColor auto="1"/>
        </patternFill>
      </fill>
      <border>
        <left/>
        <bottom/>
        <vertical/>
        <horizontal/>
      </border>
    </dxf>
    <dxf>
      <font>
        <color theme="0"/>
      </font>
      <border>
        <left/>
        <right/>
        <bottom/>
        <vertical/>
        <horizontal/>
      </border>
    </dxf>
    <dxf>
      <font>
        <color theme="0"/>
      </font>
      <border>
        <left/>
        <right/>
        <vertical/>
        <horizontal/>
      </border>
    </dxf>
    <dxf>
      <font>
        <color theme="0"/>
      </font>
      <border>
        <left/>
        <right/>
        <vertical/>
        <horizontal/>
      </border>
    </dxf>
    <dxf>
      <font>
        <color theme="0"/>
      </font>
    </dxf>
    <dxf>
      <font>
        <color theme="0"/>
      </font>
      <border>
        <top/>
        <bottom/>
        <vertical/>
        <horizontal/>
      </border>
    </dxf>
    <dxf>
      <font>
        <color theme="0"/>
      </font>
      <border>
        <left/>
        <right/>
        <top/>
        <vertical/>
        <horizontal/>
      </border>
    </dxf>
    <dxf>
      <font>
        <color theme="0"/>
      </font>
      <border>
        <left/>
        <right/>
        <top/>
        <bottom/>
        <vertical/>
        <horizontal/>
      </border>
    </dxf>
    <dxf>
      <font>
        <color rgb="FFFF0000"/>
      </font>
    </dxf>
    <dxf>
      <font>
        <color theme="0"/>
      </font>
      <border>
        <left/>
        <right/>
        <top style="thin">
          <color auto="1"/>
        </top>
        <bottom/>
        <vertical/>
        <horizontal/>
      </border>
    </dxf>
    <dxf>
      <font>
        <color theme="0"/>
      </font>
      <border>
        <left/>
        <right/>
        <top/>
        <bottom/>
        <vertical/>
        <horizontal/>
      </border>
    </dxf>
    <dxf>
      <font>
        <b/>
        <i val="0"/>
        <color rgb="FF0070C0"/>
      </font>
      <border>
        <left style="thin">
          <color auto="1"/>
        </left>
        <right style="thin">
          <color auto="1"/>
        </right>
        <top style="thin">
          <color auto="1"/>
        </top>
        <bottom style="thin">
          <color auto="1"/>
        </bottom>
        <vertical/>
        <horizontal/>
      </border>
    </dxf>
    <dxf>
      <font>
        <color rgb="FFFF0000"/>
      </font>
    </dxf>
    <dxf>
      <font>
        <b/>
        <i val="0"/>
        <color rgb="FF000000"/>
      </font>
    </dxf>
    <dxf>
      <font>
        <b/>
        <i val="0"/>
        <color rgb="FF000000"/>
      </font>
    </dxf>
    <dxf>
      <font>
        <b/>
        <i val="0"/>
        <color rgb="FF0070C0"/>
      </font>
      <border>
        <left style="thin">
          <color auto="1"/>
        </left>
        <right style="thin">
          <color auto="1"/>
        </right>
        <top style="thin">
          <color auto="1"/>
        </top>
        <bottom style="thin">
          <color auto="1"/>
        </bottom>
        <vertical/>
        <horizontal/>
      </border>
    </dxf>
    <dxf>
      <font>
        <color theme="0"/>
      </font>
      <border>
        <left/>
        <right/>
        <top style="thin">
          <color auto="1"/>
        </top>
        <bottom/>
        <vertical/>
        <horizontal/>
      </border>
    </dxf>
    <dxf>
      <font>
        <b/>
        <i val="0"/>
        <color rgb="FF0070C0"/>
      </font>
      <border>
        <left style="thin">
          <color auto="1"/>
        </left>
        <right style="thin">
          <color auto="1"/>
        </right>
        <top style="thin">
          <color auto="1"/>
        </top>
        <bottom style="thin">
          <color auto="1"/>
        </bottom>
        <vertical/>
        <horizontal/>
      </border>
    </dxf>
    <dxf>
      <font>
        <b/>
        <i val="0"/>
        <color rgb="FF0070C0"/>
      </font>
      <border>
        <left style="thin">
          <color auto="1"/>
        </left>
        <right style="thin">
          <color auto="1"/>
        </right>
        <top style="thin">
          <color auto="1"/>
        </top>
        <bottom style="thin">
          <color auto="1"/>
        </bottom>
        <vertical/>
        <horizontal/>
      </border>
    </dxf>
    <dxf>
      <font>
        <b/>
        <i val="0"/>
        <color rgb="FF0070C0"/>
      </font>
      <border>
        <left style="thin">
          <color auto="1"/>
        </left>
        <right style="thin">
          <color auto="1"/>
        </right>
        <top style="thin">
          <color auto="1"/>
        </top>
        <bottom style="thin">
          <color auto="1"/>
        </bottom>
        <vertical/>
        <horizontal/>
      </border>
    </dxf>
    <dxf>
      <font>
        <color theme="0"/>
      </font>
    </dxf>
    <dxf>
      <font>
        <color theme="0"/>
      </font>
    </dxf>
    <dxf>
      <font>
        <color rgb="FF0070C0"/>
      </font>
    </dxf>
  </dxfs>
  <tableStyles count="0" defaultTableStyle="TableStyleMedium9" defaultPivotStyle="PivotStyleLight16"/>
  <colors>
    <mruColors>
      <color rgb="FF00D25F"/>
      <color rgb="FF000000"/>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371475</xdr:colOff>
      <xdr:row>0</xdr:row>
      <xdr:rowOff>140353</xdr:rowOff>
    </xdr:from>
    <xdr:to>
      <xdr:col>3</xdr:col>
      <xdr:colOff>1539440</xdr:colOff>
      <xdr:row>1</xdr:row>
      <xdr:rowOff>714375</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00525" y="140353"/>
          <a:ext cx="1167965" cy="754997"/>
        </a:xfrm>
        <a:prstGeom prst="rect">
          <a:avLst/>
        </a:prstGeom>
      </xdr:spPr>
    </xdr:pic>
    <xdr:clientData/>
  </xdr:twoCellAnchor>
  <xdr:twoCellAnchor editAs="oneCell">
    <xdr:from>
      <xdr:col>5</xdr:col>
      <xdr:colOff>0</xdr:colOff>
      <xdr:row>1</xdr:row>
      <xdr:rowOff>0</xdr:rowOff>
    </xdr:from>
    <xdr:to>
      <xdr:col>5</xdr:col>
      <xdr:colOff>910828</xdr:colOff>
      <xdr:row>2</xdr:row>
      <xdr:rowOff>59532</xdr:rowOff>
    </xdr:to>
    <xdr:pic>
      <xdr:nvPicPr>
        <xdr:cNvPr id="2" name="Afbeelding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41406" y="178594"/>
          <a:ext cx="910828" cy="8929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40341</xdr:colOff>
      <xdr:row>33</xdr:row>
      <xdr:rowOff>114861</xdr:rowOff>
    </xdr:from>
    <xdr:to>
      <xdr:col>37</xdr:col>
      <xdr:colOff>443939</xdr:colOff>
      <xdr:row>48</xdr:row>
      <xdr:rowOff>66387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27243741" y="5315511"/>
          <a:ext cx="7518773" cy="22661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xdr:colOff>
      <xdr:row>4</xdr:row>
      <xdr:rowOff>142875</xdr:rowOff>
    </xdr:from>
    <xdr:to>
      <xdr:col>4</xdr:col>
      <xdr:colOff>57150</xdr:colOff>
      <xdr:row>6</xdr:row>
      <xdr:rowOff>196125</xdr:rowOff>
    </xdr:to>
    <xdr:cxnSp macro="">
      <xdr:nvCxnSpPr>
        <xdr:cNvPr id="3" name="Rechte verbindingslijn met pijl 2"/>
        <xdr:cNvCxnSpPr/>
      </xdr:nvCxnSpPr>
      <xdr:spPr>
        <a:xfrm>
          <a:off x="4391025" y="4143375"/>
          <a:ext cx="0" cy="72000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4</xdr:row>
      <xdr:rowOff>152400</xdr:rowOff>
    </xdr:from>
    <xdr:to>
      <xdr:col>12</xdr:col>
      <xdr:colOff>28575</xdr:colOff>
      <xdr:row>6</xdr:row>
      <xdr:rowOff>205650</xdr:rowOff>
    </xdr:to>
    <xdr:cxnSp macro="">
      <xdr:nvCxnSpPr>
        <xdr:cNvPr id="7" name="Rechte verbindingslijn met pijl 6"/>
        <xdr:cNvCxnSpPr/>
      </xdr:nvCxnSpPr>
      <xdr:spPr>
        <a:xfrm>
          <a:off x="7029450" y="4152900"/>
          <a:ext cx="0" cy="72000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142875</xdr:colOff>
      <xdr:row>5</xdr:row>
      <xdr:rowOff>177075</xdr:rowOff>
    </xdr:from>
    <xdr:to>
      <xdr:col>18</xdr:col>
      <xdr:colOff>169500</xdr:colOff>
      <xdr:row>5</xdr:row>
      <xdr:rowOff>177075</xdr:rowOff>
    </xdr:to>
    <xdr:cxnSp macro="">
      <xdr:nvCxnSpPr>
        <xdr:cNvPr id="8" name="Rechte verbindingslijn met pijl 7"/>
        <xdr:cNvCxnSpPr/>
      </xdr:nvCxnSpPr>
      <xdr:spPr>
        <a:xfrm flipH="1" flipV="1">
          <a:off x="8810625" y="4510950"/>
          <a:ext cx="36000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5</xdr:row>
      <xdr:rowOff>196125</xdr:rowOff>
    </xdr:from>
    <xdr:to>
      <xdr:col>20</xdr:col>
      <xdr:colOff>207600</xdr:colOff>
      <xdr:row>5</xdr:row>
      <xdr:rowOff>196125</xdr:rowOff>
    </xdr:to>
    <xdr:cxnSp macro="">
      <xdr:nvCxnSpPr>
        <xdr:cNvPr id="10" name="Rechte verbindingslijn met pijl 9"/>
        <xdr:cNvCxnSpPr/>
      </xdr:nvCxnSpPr>
      <xdr:spPr>
        <a:xfrm flipH="1" flipV="1">
          <a:off x="9515475" y="4530000"/>
          <a:ext cx="36000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171450</xdr:colOff>
      <xdr:row>5</xdr:row>
      <xdr:rowOff>205650</xdr:rowOff>
    </xdr:from>
    <xdr:to>
      <xdr:col>22</xdr:col>
      <xdr:colOff>198075</xdr:colOff>
      <xdr:row>5</xdr:row>
      <xdr:rowOff>205650</xdr:rowOff>
    </xdr:to>
    <xdr:cxnSp macro="">
      <xdr:nvCxnSpPr>
        <xdr:cNvPr id="11" name="Rechte verbindingslijn met pijl 10"/>
        <xdr:cNvCxnSpPr/>
      </xdr:nvCxnSpPr>
      <xdr:spPr>
        <a:xfrm flipH="1" flipV="1">
          <a:off x="10172700" y="4539525"/>
          <a:ext cx="360000"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b\Application%20Data\Microsoft\Excel\3356_DuurzaamInkopen_eb_ModelBHH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ne invoer"/>
      <sheetName val="Vloeren (alle)"/>
      <sheetName val="Hoofddraagconstructies"/>
      <sheetName val="Fundering"/>
      <sheetName val="betonnen vloeren"/>
      <sheetName val="gecombineerde vloeren"/>
      <sheetName val="houten vloeren"/>
      <sheetName val="stabiliteit"/>
      <sheetName val="liggers"/>
      <sheetName val="liggers2"/>
      <sheetName val="Blad4"/>
    </sheetNames>
    <sheetDataSet>
      <sheetData sheetId="0">
        <row r="31">
          <cell r="AR31" t="str">
            <v>leidingvloer</v>
          </cell>
          <cell r="AS31" t="str">
            <v>kanaalplaatvloer</v>
          </cell>
          <cell r="AT31" t="str">
            <v>multiflexvloerplaat</v>
          </cell>
          <cell r="AU31" t="str">
            <v>TTplaatvloer</v>
          </cell>
        </row>
        <row r="32">
          <cell r="AR32" t="str">
            <v>slimline</v>
          </cell>
          <cell r="AS32" t="str">
            <v>betonvloer i.h.w.g.</v>
          </cell>
          <cell r="AT32" t="str">
            <v>betonvloer i.h.w.g.</v>
          </cell>
          <cell r="AU32" t="str">
            <v>kanaalplaatvloer</v>
          </cell>
        </row>
        <row r="33">
          <cell r="AR33" t="str">
            <v>appartementenvloer</v>
          </cell>
          <cell r="AS33" t="str">
            <v>breedplaatvloer</v>
          </cell>
          <cell r="AT33" t="str">
            <v>breedplaatvloer</v>
          </cell>
          <cell r="AU33" t="str">
            <v>breedplaatvloer</v>
          </cell>
        </row>
        <row r="34">
          <cell r="AR34" t="str">
            <v>klimaatvloer</v>
          </cell>
          <cell r="AS34" t="str">
            <v>staalplaatbetonvloer</v>
          </cell>
          <cell r="AT34" t="str">
            <v>bubbledeckvloer</v>
          </cell>
          <cell r="AU34" t="str">
            <v>staalplaatbetonvloer</v>
          </cell>
        </row>
        <row r="35">
          <cell r="AR35" t="str">
            <v>holconvloer</v>
          </cell>
          <cell r="AS35" t="str">
            <v>bubbledeckvloer</v>
          </cell>
          <cell r="AT35" t="str">
            <v>airdeckvloer</v>
          </cell>
          <cell r="AU35" t="str">
            <v>bubbledeckvloer</v>
          </cell>
        </row>
        <row r="36">
          <cell r="AR36" t="str">
            <v>multiflexvloerplaat</v>
          </cell>
          <cell r="AS36" t="str">
            <v>airdeckvloer</v>
          </cell>
          <cell r="AT36" t="str">
            <v>houtenbalkenvloer</v>
          </cell>
          <cell r="AU36" t="str">
            <v>airdeckvloer</v>
          </cell>
        </row>
        <row r="37">
          <cell r="AR37" t="str">
            <v>wingvloer</v>
          </cell>
          <cell r="AS37" t="str">
            <v>TTplaatvloer</v>
          </cell>
          <cell r="AT37" t="str">
            <v>leidingvloer</v>
          </cell>
          <cell r="AU37" t="str">
            <v>slimline</v>
          </cell>
        </row>
        <row r="38">
          <cell r="AR38" t="str">
            <v>Lenotec</v>
          </cell>
          <cell r="AS38" t="str">
            <v>massieveplaatvloer</v>
          </cell>
          <cell r="AT38" t="str">
            <v>slimline</v>
          </cell>
          <cell r="AU38" t="str">
            <v>klimaatvloer</v>
          </cell>
        </row>
        <row r="39">
          <cell r="AR39" t="str">
            <v>Lignatur</v>
          </cell>
          <cell r="AS39" t="str">
            <v>houtenbalkenvloer</v>
          </cell>
          <cell r="AT39" t="str">
            <v>appartementenvloer</v>
          </cell>
          <cell r="AU39" t="str">
            <v>Lignatur</v>
          </cell>
        </row>
        <row r="40">
          <cell r="AT40" t="str">
            <v>Lignatur</v>
          </cell>
          <cell r="AU40" t="str">
            <v>Lenotec</v>
          </cell>
        </row>
        <row r="41">
          <cell r="AT41" t="str">
            <v>Lenotec</v>
          </cell>
        </row>
        <row r="42">
          <cell r="W42">
            <v>0.2</v>
          </cell>
          <cell r="AT42" t="str">
            <v>massieveplaatvloer</v>
          </cell>
        </row>
        <row r="43">
          <cell r="W43">
            <v>0.22</v>
          </cell>
        </row>
        <row r="44">
          <cell r="W44">
            <v>0.23</v>
          </cell>
        </row>
        <row r="45">
          <cell r="W45">
            <v>0.24</v>
          </cell>
        </row>
        <row r="46">
          <cell r="W46">
            <v>0.25</v>
          </cell>
        </row>
        <row r="47">
          <cell r="W47">
            <v>0.26</v>
          </cell>
        </row>
        <row r="48">
          <cell r="W48">
            <v>0.27</v>
          </cell>
        </row>
        <row r="49">
          <cell r="W49">
            <v>0.28000000000000003</v>
          </cell>
        </row>
        <row r="50">
          <cell r="W50">
            <v>0.28999999999999998</v>
          </cell>
        </row>
        <row r="51">
          <cell r="W51">
            <v>0.3</v>
          </cell>
        </row>
        <row r="52">
          <cell r="W52">
            <v>0.31</v>
          </cell>
        </row>
        <row r="53">
          <cell r="W53">
            <v>0.32</v>
          </cell>
        </row>
        <row r="54">
          <cell r="W54">
            <v>0.33</v>
          </cell>
        </row>
        <row r="55">
          <cell r="W55">
            <v>0.34</v>
          </cell>
        </row>
        <row r="56">
          <cell r="W56">
            <v>0.35</v>
          </cell>
        </row>
        <row r="57">
          <cell r="W57">
            <v>0.36</v>
          </cell>
        </row>
        <row r="58">
          <cell r="W58">
            <v>0.37</v>
          </cell>
        </row>
        <row r="59">
          <cell r="W59">
            <v>0.38</v>
          </cell>
        </row>
        <row r="60">
          <cell r="W60">
            <v>0.39</v>
          </cell>
        </row>
        <row r="61">
          <cell r="W61">
            <v>0.4</v>
          </cell>
        </row>
        <row r="62">
          <cell r="W62">
            <v>0.41</v>
          </cell>
        </row>
        <row r="63">
          <cell r="W63">
            <v>0.42</v>
          </cell>
        </row>
        <row r="64">
          <cell r="W64">
            <v>0.43</v>
          </cell>
        </row>
        <row r="65">
          <cell r="W65">
            <v>0.44</v>
          </cell>
        </row>
        <row r="66">
          <cell r="W66">
            <v>0.45</v>
          </cell>
        </row>
        <row r="67">
          <cell r="W67">
            <v>0.46</v>
          </cell>
        </row>
        <row r="68">
          <cell r="W68">
            <v>0.47</v>
          </cell>
        </row>
        <row r="69">
          <cell r="W69">
            <v>0.48</v>
          </cell>
        </row>
        <row r="70">
          <cell r="W70">
            <v>0.49</v>
          </cell>
        </row>
        <row r="71">
          <cell r="W71">
            <v>0.5</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ki-kiem.nl/"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EY468"/>
  <sheetViews>
    <sheetView showGridLines="0" showZeros="0" tabSelected="1" zoomScale="80" zoomScaleNormal="80" zoomScaleSheetLayoutView="100" workbookViewId="0">
      <selection activeCell="B4" sqref="B4"/>
    </sheetView>
  </sheetViews>
  <sheetFormatPr defaultColWidth="9.33203125" defaultRowHeight="18" customHeight="1" x14ac:dyDescent="0.2"/>
  <cols>
    <col min="1" max="1" width="8.83203125" style="403" customWidth="1"/>
    <col min="2" max="2" width="6.83203125" style="404" customWidth="1"/>
    <col min="3" max="3" width="52.1640625" style="403" customWidth="1"/>
    <col min="4" max="4" width="44.6640625" style="403" customWidth="1"/>
    <col min="5" max="5" width="18" style="380" bestFit="1" customWidth="1"/>
    <col min="6" max="6" width="30" style="403" customWidth="1"/>
    <col min="7" max="7" width="2.6640625" style="380" customWidth="1"/>
    <col min="8" max="8" width="22.5" style="489" customWidth="1"/>
    <col min="9" max="9" width="28.6640625" style="596" bestFit="1" customWidth="1"/>
    <col min="10" max="10" width="14" style="403" customWidth="1"/>
    <col min="11" max="11" width="28.5" style="395" bestFit="1" customWidth="1"/>
    <col min="12" max="12" width="33.33203125" style="395" customWidth="1"/>
    <col min="13" max="13" width="7.6640625" style="395" bestFit="1" customWidth="1"/>
    <col min="14" max="14" width="10" style="395" bestFit="1" customWidth="1"/>
    <col min="15" max="15" width="7.33203125" style="395" bestFit="1" customWidth="1"/>
    <col min="16" max="16" width="8" style="395" customWidth="1"/>
    <col min="17" max="17" width="9.33203125" style="395"/>
    <col min="18" max="18" width="6.5" style="395" bestFit="1" customWidth="1"/>
    <col min="19" max="19" width="30.1640625" style="395" customWidth="1"/>
    <col min="20" max="20" width="22.6640625" style="395" customWidth="1"/>
    <col min="21" max="21" width="21.83203125" style="395" bestFit="1" customWidth="1"/>
    <col min="22" max="22" width="8.1640625" style="395" bestFit="1" customWidth="1"/>
    <col min="23" max="23" width="9.33203125" style="395"/>
    <col min="24" max="24" width="29.33203125" style="395" customWidth="1"/>
    <col min="25" max="25" width="31.83203125" style="395" bestFit="1" customWidth="1"/>
    <col min="26" max="26" width="51.83203125" style="395" bestFit="1" customWidth="1"/>
    <col min="27" max="27" width="23.5" style="395" bestFit="1" customWidth="1"/>
    <col min="28" max="28" width="47.33203125" style="395" bestFit="1" customWidth="1"/>
    <col min="29" max="29" width="51" style="395" bestFit="1" customWidth="1"/>
    <col min="30" max="30" width="46.83203125" style="395" bestFit="1" customWidth="1"/>
    <col min="31" max="31" width="32.6640625" style="395" bestFit="1" customWidth="1"/>
    <col min="32" max="32" width="50.1640625" style="395" bestFit="1" customWidth="1"/>
    <col min="33" max="33" width="49.33203125" style="395" bestFit="1" customWidth="1"/>
    <col min="34" max="34" width="46" style="395" bestFit="1" customWidth="1"/>
    <col min="35" max="35" width="32.6640625" style="395" bestFit="1" customWidth="1"/>
    <col min="36" max="36" width="19" style="395" bestFit="1" customWidth="1"/>
    <col min="37" max="37" width="38.1640625" style="395" bestFit="1" customWidth="1"/>
    <col min="38" max="38" width="24" style="395" bestFit="1" customWidth="1"/>
    <col min="39" max="39" width="23.5" style="395" bestFit="1" customWidth="1"/>
    <col min="40" max="40" width="44.83203125" style="395" bestFit="1" customWidth="1"/>
    <col min="41" max="41" width="31.5" style="395" bestFit="1" customWidth="1"/>
    <col min="42" max="42" width="33.5" style="395" bestFit="1" customWidth="1"/>
    <col min="43" max="43" width="65.1640625" style="395" bestFit="1" customWidth="1"/>
    <col min="44" max="44" width="32.33203125" style="395" bestFit="1" customWidth="1"/>
    <col min="45" max="45" width="43.1640625" style="395" bestFit="1" customWidth="1"/>
    <col min="46" max="46" width="16.6640625" style="395" bestFit="1" customWidth="1"/>
    <col min="47" max="47" width="32" style="395" bestFit="1" customWidth="1"/>
    <col min="48" max="48" width="15.5" style="395" bestFit="1" customWidth="1"/>
    <col min="49" max="49" width="15.83203125" style="395" bestFit="1" customWidth="1"/>
    <col min="50" max="50" width="31" style="395" bestFit="1" customWidth="1"/>
    <col min="51" max="51" width="21.83203125" style="395" bestFit="1" customWidth="1"/>
    <col min="52" max="52" width="23.33203125" style="395" bestFit="1" customWidth="1"/>
    <col min="53" max="53" width="46.6640625" style="395" bestFit="1" customWidth="1"/>
    <col min="54" max="54" width="32" style="395" bestFit="1" customWidth="1"/>
    <col min="55" max="55" width="38.33203125" style="395" bestFit="1" customWidth="1"/>
    <col min="56" max="56" width="15.83203125" style="395" bestFit="1" customWidth="1"/>
    <col min="57" max="57" width="31" style="395" bestFit="1" customWidth="1"/>
    <col min="58" max="58" width="21.83203125" style="395" bestFit="1" customWidth="1"/>
    <col min="59" max="59" width="27.6640625" style="395" bestFit="1" customWidth="1"/>
    <col min="60" max="60" width="46.6640625" style="395" bestFit="1" customWidth="1"/>
    <col min="61" max="61" width="29" style="395" customWidth="1"/>
    <col min="62" max="62" width="38.33203125" style="395" bestFit="1" customWidth="1"/>
    <col min="63" max="16384" width="9.33203125" style="403"/>
  </cols>
  <sheetData>
    <row r="1" spans="1:65" ht="14.25" customHeight="1" x14ac:dyDescent="0.2">
      <c r="K1" s="608"/>
    </row>
    <row r="2" spans="1:65" ht="66" customHeight="1" x14ac:dyDescent="0.2">
      <c r="A2" s="404"/>
      <c r="C2" s="404"/>
      <c r="D2" s="1860"/>
      <c r="E2" s="1860"/>
      <c r="F2" s="404"/>
      <c r="G2" s="368" t="s">
        <v>262</v>
      </c>
      <c r="H2" s="609"/>
      <c r="I2" s="610"/>
      <c r="J2" s="359"/>
      <c r="K2" s="608"/>
    </row>
    <row r="3" spans="1:65" ht="18" customHeight="1" x14ac:dyDescent="0.2">
      <c r="A3" s="1861" t="s">
        <v>273</v>
      </c>
      <c r="B3" s="1861"/>
      <c r="C3" s="1861"/>
      <c r="D3" s="1861"/>
      <c r="E3" s="1861"/>
      <c r="F3" s="1861"/>
      <c r="H3" s="1427" t="s">
        <v>263</v>
      </c>
      <c r="I3" s="359" t="s">
        <v>264</v>
      </c>
    </row>
    <row r="4" spans="1:65" ht="18" customHeight="1" x14ac:dyDescent="0.2">
      <c r="A4" s="1881"/>
      <c r="B4" s="1882"/>
      <c r="C4" s="1885" t="s">
        <v>1260</v>
      </c>
      <c r="D4" s="1883"/>
      <c r="E4" s="1884" t="s">
        <v>1259</v>
      </c>
      <c r="F4" s="404"/>
      <c r="H4" s="1428" t="s">
        <v>263</v>
      </c>
      <c r="I4" s="360" t="s">
        <v>358</v>
      </c>
    </row>
    <row r="5" spans="1:65" s="359" customFormat="1" ht="12.75" x14ac:dyDescent="0.2">
      <c r="A5" s="367"/>
      <c r="B5" s="367"/>
      <c r="C5" s="367"/>
      <c r="D5" s="1410" t="s">
        <v>1258</v>
      </c>
      <c r="E5" s="365"/>
      <c r="F5" s="365"/>
      <c r="H5" s="1429" t="s">
        <v>263</v>
      </c>
      <c r="I5" s="686" t="s">
        <v>265</v>
      </c>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row>
    <row r="6" spans="1:65" s="359" customFormat="1" ht="30.75" customHeight="1" x14ac:dyDescent="0.2">
      <c r="A6" s="1"/>
      <c r="B6" s="1"/>
      <c r="C6" s="1"/>
      <c r="D6" s="688" t="s">
        <v>470</v>
      </c>
      <c r="E6" s="1"/>
      <c r="F6" s="1"/>
      <c r="G6" s="356"/>
      <c r="H6" s="345"/>
      <c r="I6" s="611"/>
      <c r="J6" s="356"/>
      <c r="K6" s="426"/>
      <c r="L6" s="426"/>
      <c r="M6" s="426"/>
      <c r="N6" s="426"/>
      <c r="O6" s="7"/>
      <c r="P6" s="7"/>
      <c r="Q6" s="7"/>
      <c r="R6" s="7"/>
      <c r="S6" s="7"/>
      <c r="T6" s="433"/>
      <c r="U6" s="433"/>
      <c r="V6" s="433"/>
      <c r="W6" s="433"/>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row>
    <row r="7" spans="1:65" s="359" customFormat="1" ht="18" customHeight="1" x14ac:dyDescent="0.2">
      <c r="A7" s="1"/>
      <c r="B7" s="1"/>
      <c r="C7" s="1"/>
      <c r="D7" s="1"/>
      <c r="E7" s="1"/>
      <c r="F7" s="1"/>
      <c r="G7" s="1"/>
      <c r="H7" s="345"/>
      <c r="I7" s="6"/>
      <c r="J7" s="1"/>
      <c r="K7" s="426"/>
      <c r="L7" s="426"/>
      <c r="M7" s="426"/>
      <c r="N7" s="426"/>
      <c r="O7" s="7"/>
      <c r="P7" s="7"/>
      <c r="Q7" s="7"/>
      <c r="R7" s="7"/>
      <c r="S7" s="7"/>
      <c r="T7" s="433"/>
      <c r="U7" s="433"/>
      <c r="V7" s="433"/>
      <c r="W7" s="433"/>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row>
    <row r="8" spans="1:65" s="387" customFormat="1" ht="18" customHeight="1" x14ac:dyDescent="0.2">
      <c r="B8" s="547"/>
      <c r="E8" s="388"/>
      <c r="G8" s="388"/>
      <c r="H8" s="389"/>
      <c r="I8" s="612"/>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c r="BI8" s="455"/>
      <c r="BJ8" s="455"/>
    </row>
    <row r="9" spans="1:65" ht="27.75" customHeight="1" x14ac:dyDescent="0.2">
      <c r="A9" s="1411" t="s">
        <v>6</v>
      </c>
      <c r="B9" s="1412"/>
      <c r="C9" s="1412"/>
      <c r="D9" s="1412"/>
      <c r="E9" s="1412"/>
      <c r="F9" s="1412"/>
      <c r="G9" s="1412"/>
      <c r="H9" s="613"/>
      <c r="I9" s="614"/>
      <c r="J9" s="615"/>
      <c r="BA9" s="550"/>
      <c r="BB9" s="550"/>
      <c r="BD9" s="550"/>
      <c r="BK9" s="395"/>
      <c r="BL9" s="395"/>
      <c r="BM9" s="395"/>
    </row>
    <row r="10" spans="1:65" ht="20.25" customHeight="1" x14ac:dyDescent="0.2">
      <c r="A10" s="346"/>
      <c r="B10" s="347"/>
      <c r="C10" s="348"/>
      <c r="D10" s="348"/>
      <c r="E10" s="349"/>
      <c r="F10" s="348"/>
      <c r="G10" s="349"/>
      <c r="H10" s="350"/>
      <c r="I10" s="351"/>
      <c r="J10" s="360"/>
      <c r="BK10" s="395"/>
      <c r="BL10" s="395"/>
      <c r="BM10" s="395"/>
    </row>
    <row r="11" spans="1:65" ht="18" customHeight="1" x14ac:dyDescent="0.2">
      <c r="A11" s="352"/>
      <c r="B11" s="353"/>
      <c r="C11" s="354" t="s">
        <v>422</v>
      </c>
      <c r="D11" s="355"/>
      <c r="E11" s="356"/>
      <c r="F11" s="355"/>
      <c r="G11" s="356"/>
      <c r="H11" s="357"/>
      <c r="I11" s="361"/>
      <c r="J11" s="356"/>
      <c r="BK11" s="395"/>
      <c r="BL11" s="395"/>
      <c r="BM11" s="395"/>
    </row>
    <row r="12" spans="1:65" ht="18" customHeight="1" x14ac:dyDescent="0.2">
      <c r="A12" s="352"/>
      <c r="C12" s="368" t="s">
        <v>550</v>
      </c>
      <c r="F12" s="1423">
        <v>4</v>
      </c>
      <c r="G12" s="369"/>
      <c r="H12" s="357" t="s">
        <v>17</v>
      </c>
      <c r="I12" s="361"/>
      <c r="BK12" s="395"/>
      <c r="BL12" s="395"/>
      <c r="BM12" s="395"/>
    </row>
    <row r="13" spans="1:65" ht="18" customHeight="1" x14ac:dyDescent="0.2">
      <c r="A13" s="1286"/>
      <c r="C13" s="368" t="s">
        <v>1256</v>
      </c>
      <c r="D13" s="1640" t="s">
        <v>70</v>
      </c>
      <c r="E13" s="1425">
        <v>5</v>
      </c>
      <c r="F13" s="1426">
        <v>10</v>
      </c>
      <c r="G13" s="369"/>
      <c r="H13" s="357" t="s">
        <v>17</v>
      </c>
      <c r="I13" s="361"/>
      <c r="BK13" s="395"/>
      <c r="BL13" s="395"/>
      <c r="BM13" s="395"/>
    </row>
    <row r="14" spans="1:65" ht="18" customHeight="1" x14ac:dyDescent="0.2">
      <c r="A14" s="1286"/>
      <c r="C14" s="368" t="s">
        <v>1257</v>
      </c>
      <c r="D14" s="1640" t="s">
        <v>65</v>
      </c>
      <c r="E14" s="1422">
        <v>9</v>
      </c>
      <c r="F14" s="1424">
        <v>3.7</v>
      </c>
      <c r="G14" s="369"/>
      <c r="H14" s="357" t="s">
        <v>17</v>
      </c>
      <c r="I14" s="361"/>
      <c r="BK14" s="395"/>
      <c r="BL14" s="395"/>
      <c r="BM14" s="395"/>
    </row>
    <row r="15" spans="1:65" ht="18" customHeight="1" x14ac:dyDescent="0.2">
      <c r="A15" s="1286"/>
      <c r="C15" s="1414" t="s">
        <v>875</v>
      </c>
      <c r="E15" s="403"/>
      <c r="F15" s="1415">
        <f>(E13-1)*F13*(E14-1)*F14</f>
        <v>1184</v>
      </c>
      <c r="G15" s="403"/>
      <c r="H15" s="357" t="s">
        <v>383</v>
      </c>
      <c r="I15" s="361"/>
      <c r="BK15" s="395"/>
      <c r="BL15" s="395"/>
      <c r="BM15" s="395"/>
    </row>
    <row r="16" spans="1:65" ht="18" customHeight="1" x14ac:dyDescent="0.2">
      <c r="A16" s="1286"/>
      <c r="C16" s="368"/>
      <c r="D16" s="360"/>
      <c r="E16" s="360"/>
      <c r="F16" s="557"/>
      <c r="G16" s="369"/>
      <c r="H16" s="357"/>
      <c r="I16" s="361"/>
      <c r="BK16" s="395"/>
      <c r="BL16" s="395"/>
      <c r="BM16" s="395"/>
    </row>
    <row r="17" spans="1:65" ht="18" customHeight="1" x14ac:dyDescent="0.2">
      <c r="A17" s="378"/>
      <c r="B17" s="353"/>
      <c r="C17" s="354" t="s">
        <v>865</v>
      </c>
      <c r="D17" s="3" t="s">
        <v>443</v>
      </c>
      <c r="E17" s="1276" t="s">
        <v>70</v>
      </c>
      <c r="F17" s="2" t="s">
        <v>487</v>
      </c>
      <c r="G17" s="376"/>
      <c r="H17" s="381" t="str">
        <f>IF(AND(D17="dragende wanden",F225="d = geen kzs mogelijk"),"geen kzs mogelijk",IF(AND(D17="dragende wanden",F225="d = geen HSB wanden mogelijk"),"geen HSB wanden mogelijk",""))</f>
        <v/>
      </c>
      <c r="I17" s="366"/>
      <c r="J17" s="360"/>
      <c r="BK17" s="395"/>
      <c r="BL17" s="395"/>
      <c r="BM17" s="395"/>
    </row>
    <row r="18" spans="1:65" ht="18" customHeight="1" x14ac:dyDescent="0.2">
      <c r="A18" s="378"/>
      <c r="B18" s="353"/>
      <c r="C18" s="362" t="s">
        <v>444</v>
      </c>
      <c r="D18" s="2" t="s">
        <v>206</v>
      </c>
      <c r="E18" s="382">
        <f>IF(AND(D17="dragende wanden",E17="x"),"y",IF(AND(D17="dragende wanden",E17="y"),"x",IF(D17="(on)geschoord skelet",0)))</f>
        <v>0</v>
      </c>
      <c r="F18" s="1300" t="s">
        <v>487</v>
      </c>
      <c r="G18" s="376"/>
      <c r="H18" s="1851" t="str">
        <f>IF(H17="geen HSB wanden mogelijk","geen HSB wanden mogelijk","")</f>
        <v/>
      </c>
      <c r="I18" s="366"/>
      <c r="J18" s="360"/>
      <c r="BK18" s="395"/>
      <c r="BL18" s="395"/>
      <c r="BM18" s="395"/>
    </row>
    <row r="19" spans="1:65" ht="18" customHeight="1" x14ac:dyDescent="0.2">
      <c r="A19" s="378"/>
      <c r="B19" s="353"/>
      <c r="C19" s="362" t="s">
        <v>521</v>
      </c>
      <c r="D19" s="2" t="s">
        <v>220</v>
      </c>
      <c r="E19" s="1277"/>
      <c r="F19" s="862" t="s">
        <v>774</v>
      </c>
      <c r="G19" s="376"/>
      <c r="H19" s="381"/>
      <c r="I19" s="366"/>
      <c r="J19" s="360"/>
      <c r="BK19" s="395"/>
      <c r="BL19" s="395"/>
      <c r="BM19" s="395"/>
    </row>
    <row r="20" spans="1:65" ht="18" customHeight="1" x14ac:dyDescent="0.2">
      <c r="A20" s="378"/>
      <c r="B20" s="353"/>
      <c r="C20" s="362" t="s">
        <v>522</v>
      </c>
      <c r="D20" s="3" t="s">
        <v>203</v>
      </c>
      <c r="E20" s="1278"/>
      <c r="F20" s="2" t="s">
        <v>774</v>
      </c>
      <c r="G20" s="376"/>
      <c r="H20" s="1798" t="str">
        <f>IF(AND(D20="kern",F20&lt;&gt;F22),"materiaal kern moet gelijk aan elkaar zijn","")</f>
        <v/>
      </c>
      <c r="I20" s="366"/>
      <c r="J20" s="360"/>
      <c r="BK20" s="395"/>
      <c r="BL20" s="395"/>
      <c r="BM20" s="395"/>
    </row>
    <row r="21" spans="1:65" ht="18" customHeight="1" x14ac:dyDescent="0.2">
      <c r="A21" s="378"/>
      <c r="B21" s="353"/>
      <c r="C21" s="362" t="s">
        <v>520</v>
      </c>
      <c r="D21" s="2" t="s">
        <v>220</v>
      </c>
      <c r="E21" s="1277"/>
      <c r="F21" s="2" t="s">
        <v>774</v>
      </c>
      <c r="G21" s="376"/>
      <c r="H21" s="384">
        <f>IF(F19&lt;&gt;F21,"materiaalkeuze gelijk aan skelet x kiezen s.v.p.",0)</f>
        <v>0</v>
      </c>
      <c r="I21" s="366"/>
      <c r="J21" s="360"/>
      <c r="BK21" s="395"/>
      <c r="BL21" s="395"/>
      <c r="BM21" s="395"/>
    </row>
    <row r="22" spans="1:65" ht="18" customHeight="1" x14ac:dyDescent="0.2">
      <c r="A22" s="378"/>
      <c r="B22" s="353"/>
      <c r="C22" s="362" t="s">
        <v>519</v>
      </c>
      <c r="D22" s="3" t="s">
        <v>203</v>
      </c>
      <c r="E22" s="1278"/>
      <c r="F22" s="2" t="s">
        <v>774</v>
      </c>
      <c r="G22" s="376"/>
      <c r="H22" s="381"/>
      <c r="I22" s="366"/>
      <c r="J22" s="360"/>
      <c r="BK22" s="395"/>
      <c r="BL22" s="395"/>
      <c r="BM22" s="395"/>
    </row>
    <row r="23" spans="1:65" ht="18" customHeight="1" x14ac:dyDescent="0.2">
      <c r="A23" s="1286"/>
      <c r="C23" s="368"/>
      <c r="D23" s="360"/>
      <c r="E23" s="360"/>
      <c r="F23" s="557"/>
      <c r="G23" s="369"/>
      <c r="H23" s="357"/>
      <c r="I23" s="361"/>
      <c r="BK23" s="395"/>
      <c r="BL23" s="395"/>
      <c r="BM23" s="395"/>
    </row>
    <row r="24" spans="1:65" ht="18" customHeight="1" x14ac:dyDescent="0.2">
      <c r="A24" s="1286"/>
      <c r="C24" s="354" t="s">
        <v>866</v>
      </c>
      <c r="F24" s="1413"/>
      <c r="G24" s="369"/>
      <c r="H24" s="357"/>
      <c r="I24" s="361"/>
      <c r="BK24" s="395"/>
      <c r="BL24" s="395"/>
      <c r="BM24" s="395"/>
    </row>
    <row r="25" spans="1:65" ht="18" customHeight="1" x14ac:dyDescent="0.2">
      <c r="A25" s="352"/>
      <c r="B25" s="358" t="s">
        <v>548</v>
      </c>
      <c r="C25" s="359"/>
      <c r="D25" s="359"/>
      <c r="E25" s="360"/>
      <c r="I25" s="361"/>
      <c r="J25" s="360"/>
      <c r="BK25" s="395"/>
      <c r="BL25" s="395"/>
      <c r="BM25" s="395"/>
    </row>
    <row r="26" spans="1:65" ht="18" customHeight="1" x14ac:dyDescent="0.2">
      <c r="A26" s="352"/>
      <c r="B26" s="353"/>
      <c r="C26" s="362" t="s">
        <v>549</v>
      </c>
      <c r="D26" s="359"/>
      <c r="E26" s="360">
        <v>0</v>
      </c>
      <c r="F26" s="2" t="s">
        <v>22</v>
      </c>
      <c r="G26" s="360"/>
      <c r="H26" s="363" t="str">
        <f>IF(OR(F26="woongebouw",F26="woning"),"woningbouw","utiliteitsbouw")</f>
        <v>woningbouw</v>
      </c>
      <c r="I26" s="361"/>
      <c r="BK26" s="395"/>
      <c r="BL26" s="395"/>
      <c r="BM26" s="395"/>
    </row>
    <row r="27" spans="1:65" ht="18" customHeight="1" x14ac:dyDescent="0.2">
      <c r="A27" s="352"/>
      <c r="B27" s="353"/>
      <c r="C27" s="362" t="s">
        <v>876</v>
      </c>
      <c r="D27" s="359"/>
      <c r="E27" s="862" t="s">
        <v>25</v>
      </c>
      <c r="F27" s="2" t="s">
        <v>883</v>
      </c>
      <c r="G27" s="365"/>
      <c r="H27" s="403" t="s">
        <v>17</v>
      </c>
      <c r="I27" s="366"/>
      <c r="J27" s="623"/>
      <c r="BK27" s="395"/>
      <c r="BL27" s="395"/>
      <c r="BM27" s="395"/>
    </row>
    <row r="28" spans="1:65" ht="18" customHeight="1" x14ac:dyDescent="0.2">
      <c r="A28" s="1286"/>
      <c r="B28" s="367"/>
      <c r="C28" s="362" t="s">
        <v>877</v>
      </c>
      <c r="D28" s="359"/>
      <c r="E28" s="1416"/>
      <c r="F28" s="1417">
        <f>IF(E27="nee",$F$15,$F$15+F27)</f>
        <v>1184</v>
      </c>
      <c r="G28" s="365"/>
      <c r="H28" s="357" t="s">
        <v>383</v>
      </c>
      <c r="I28" s="366"/>
      <c r="J28" s="623"/>
      <c r="BK28" s="395"/>
      <c r="BL28" s="395"/>
      <c r="BM28" s="395"/>
    </row>
    <row r="29" spans="1:65" ht="18" customHeight="1" thickBot="1" x14ac:dyDescent="0.25">
      <c r="A29" s="352"/>
      <c r="B29" s="367"/>
      <c r="C29" s="368" t="s">
        <v>551</v>
      </c>
      <c r="D29" s="359"/>
      <c r="E29" s="364"/>
      <c r="F29" s="370">
        <f>L79</f>
        <v>0.2</v>
      </c>
      <c r="G29" s="371"/>
      <c r="H29" s="372" t="s">
        <v>27</v>
      </c>
      <c r="I29" s="373"/>
      <c r="BK29" s="395"/>
      <c r="BL29" s="395"/>
      <c r="BM29" s="395"/>
    </row>
    <row r="30" spans="1:65" ht="18" customHeight="1" thickTop="1" x14ac:dyDescent="0.2">
      <c r="A30" s="352"/>
      <c r="B30" s="367"/>
      <c r="C30" s="362" t="s">
        <v>552</v>
      </c>
      <c r="D30" s="359"/>
      <c r="E30" s="365"/>
      <c r="F30" s="374">
        <f>F12+F29</f>
        <v>4.2</v>
      </c>
      <c r="G30" s="369"/>
      <c r="H30" s="375" t="s">
        <v>17</v>
      </c>
      <c r="I30" s="366"/>
      <c r="J30" s="360"/>
      <c r="BK30" s="395"/>
      <c r="BL30" s="395"/>
      <c r="BM30" s="395"/>
    </row>
    <row r="31" spans="1:65" ht="18" customHeight="1" x14ac:dyDescent="0.2">
      <c r="A31" s="352"/>
      <c r="B31" s="358" t="s">
        <v>553</v>
      </c>
      <c r="C31" s="359"/>
      <c r="D31" s="359"/>
      <c r="E31" s="365"/>
      <c r="F31" s="359"/>
      <c r="G31" s="360"/>
      <c r="H31" s="357"/>
      <c r="I31" s="366"/>
      <c r="J31" s="360"/>
      <c r="BK31" s="395"/>
      <c r="BL31" s="395"/>
      <c r="BM31" s="395"/>
    </row>
    <row r="32" spans="1:65" ht="18" customHeight="1" x14ac:dyDescent="0.2">
      <c r="A32" s="352"/>
      <c r="B32" s="353"/>
      <c r="C32" s="362" t="s">
        <v>873</v>
      </c>
      <c r="D32" s="359"/>
      <c r="E32" s="391">
        <v>10</v>
      </c>
      <c r="F32" s="2" t="s">
        <v>23</v>
      </c>
      <c r="G32" s="360"/>
      <c r="H32" s="363" t="str">
        <f>IF(OR(F32="woongebouw",F32="woning"),"woningbouw","utiliteitsbouw")</f>
        <v>utiliteitsbouw</v>
      </c>
      <c r="I32" s="366"/>
      <c r="J32" s="360"/>
      <c r="BK32" s="395"/>
      <c r="BL32" s="395"/>
      <c r="BM32" s="395"/>
    </row>
    <row r="33" spans="1:65" ht="18" customHeight="1" x14ac:dyDescent="0.2">
      <c r="A33" s="352"/>
      <c r="B33" s="353"/>
      <c r="C33" s="362" t="s">
        <v>876</v>
      </c>
      <c r="D33" s="359"/>
      <c r="E33" s="862" t="s">
        <v>25</v>
      </c>
      <c r="F33" s="2" t="s">
        <v>884</v>
      </c>
      <c r="G33" s="365"/>
      <c r="H33" s="403" t="s">
        <v>17</v>
      </c>
      <c r="I33" s="366"/>
      <c r="BK33" s="395"/>
      <c r="BL33" s="395"/>
      <c r="BM33" s="395"/>
    </row>
    <row r="34" spans="1:65" ht="18" customHeight="1" x14ac:dyDescent="0.2">
      <c r="A34" s="1286"/>
      <c r="B34" s="353"/>
      <c r="C34" s="362"/>
      <c r="D34" s="359"/>
      <c r="E34" s="1418"/>
      <c r="F34" s="1417">
        <f>IF(E33="nee",$F$15,$F$15+F33)</f>
        <v>1184</v>
      </c>
      <c r="G34" s="365"/>
      <c r="H34" s="357" t="s">
        <v>383</v>
      </c>
      <c r="I34" s="366"/>
      <c r="BK34" s="395"/>
      <c r="BL34" s="395"/>
      <c r="BM34" s="395"/>
    </row>
    <row r="35" spans="1:65" s="380" customFormat="1" ht="18" customHeight="1" x14ac:dyDescent="0.2">
      <c r="A35" s="352"/>
      <c r="B35" s="353"/>
      <c r="C35" s="368" t="s">
        <v>547</v>
      </c>
      <c r="D35" s="376"/>
      <c r="E35" s="2" t="s">
        <v>299</v>
      </c>
      <c r="F35" s="377">
        <f>VLOOKUP(E35,KEUZELIJSTEN!$C$35:$D$38,2)</f>
        <v>0.3</v>
      </c>
      <c r="G35" s="369"/>
      <c r="H35" s="5" t="s">
        <v>17</v>
      </c>
      <c r="I35" s="366"/>
      <c r="J35" s="360"/>
      <c r="K35" s="395"/>
      <c r="L35" s="395"/>
      <c r="M35" s="395"/>
      <c r="N35" s="395"/>
      <c r="O35" s="395"/>
      <c r="P35" s="395"/>
      <c r="Q35" s="395"/>
      <c r="R35" s="395"/>
      <c r="S35" s="395"/>
    </row>
    <row r="36" spans="1:65" ht="18" customHeight="1" thickBot="1" x14ac:dyDescent="0.25">
      <c r="A36" s="352"/>
      <c r="B36" s="353"/>
      <c r="C36" s="368" t="s">
        <v>551</v>
      </c>
      <c r="D36" s="360"/>
      <c r="E36" s="364"/>
      <c r="F36" s="370">
        <f>L106</f>
        <v>0.39</v>
      </c>
      <c r="G36" s="371"/>
      <c r="H36" s="372" t="s">
        <v>27</v>
      </c>
      <c r="I36" s="373"/>
      <c r="J36" s="360"/>
      <c r="BK36" s="395"/>
      <c r="BL36" s="395"/>
      <c r="BM36" s="395"/>
    </row>
    <row r="37" spans="1:65" s="380" customFormat="1" ht="18" customHeight="1" thickTop="1" x14ac:dyDescent="0.2">
      <c r="A37" s="352"/>
      <c r="B37" s="367"/>
      <c r="C37" s="362" t="s">
        <v>552</v>
      </c>
      <c r="D37" s="359"/>
      <c r="E37" s="365"/>
      <c r="F37" s="374">
        <f>IF(E32=0,0,F12+F35+F36)</f>
        <v>4.6899999999999995</v>
      </c>
      <c r="G37" s="369"/>
      <c r="H37" s="375" t="s">
        <v>17</v>
      </c>
      <c r="I37" s="366"/>
      <c r="J37" s="360"/>
      <c r="K37" s="395"/>
      <c r="L37" s="395"/>
      <c r="M37" s="395"/>
      <c r="N37" s="395"/>
      <c r="O37" s="395"/>
      <c r="P37" s="395"/>
      <c r="Q37" s="395"/>
      <c r="R37" s="395"/>
      <c r="S37" s="395"/>
    </row>
    <row r="38" spans="1:65" ht="18" customHeight="1" x14ac:dyDescent="0.2">
      <c r="A38" s="352"/>
      <c r="B38" s="358" t="s">
        <v>555</v>
      </c>
      <c r="C38" s="359"/>
      <c r="D38" s="359"/>
      <c r="E38" s="365"/>
      <c r="F38" s="359"/>
      <c r="G38" s="360"/>
      <c r="H38" s="357"/>
      <c r="I38" s="366"/>
      <c r="J38" s="360"/>
      <c r="BK38" s="395"/>
      <c r="BL38" s="395"/>
      <c r="BM38" s="395"/>
    </row>
    <row r="39" spans="1:65" ht="18" customHeight="1" x14ac:dyDescent="0.2">
      <c r="A39" s="352"/>
      <c r="B39" s="353"/>
      <c r="C39" s="362" t="s">
        <v>873</v>
      </c>
      <c r="D39" s="359"/>
      <c r="E39" s="391">
        <v>3</v>
      </c>
      <c r="F39" s="2" t="s">
        <v>9</v>
      </c>
      <c r="G39" s="360"/>
      <c r="H39" s="363" t="str">
        <f>IF(OR(F39="woongebouw",F39="woning"),"woningbouw","utiliteitsbouw")</f>
        <v>utiliteitsbouw</v>
      </c>
      <c r="I39" s="366"/>
      <c r="J39" s="360"/>
      <c r="BK39" s="395"/>
      <c r="BL39" s="395"/>
      <c r="BM39" s="395"/>
    </row>
    <row r="40" spans="1:65" ht="18" customHeight="1" x14ac:dyDescent="0.2">
      <c r="A40" s="352"/>
      <c r="B40" s="353"/>
      <c r="C40" s="362" t="s">
        <v>876</v>
      </c>
      <c r="E40" s="862" t="s">
        <v>40</v>
      </c>
      <c r="F40" s="2" t="s">
        <v>884</v>
      </c>
      <c r="G40" s="365"/>
      <c r="H40" s="403" t="s">
        <v>17</v>
      </c>
      <c r="I40" s="366"/>
      <c r="BK40" s="395"/>
      <c r="BL40" s="395"/>
      <c r="BM40" s="395"/>
    </row>
    <row r="41" spans="1:65" ht="18" customHeight="1" x14ac:dyDescent="0.2">
      <c r="A41" s="1286"/>
      <c r="B41" s="353"/>
      <c r="C41" s="362" t="s">
        <v>878</v>
      </c>
      <c r="D41" s="376"/>
      <c r="E41" s="376"/>
      <c r="F41" s="1415">
        <f>IF(E40="nee",$F$15,$F$15+F40)</f>
        <v>1084</v>
      </c>
      <c r="G41" s="365"/>
      <c r="H41" s="357" t="s">
        <v>383</v>
      </c>
      <c r="I41" s="366"/>
      <c r="BK41" s="395"/>
      <c r="BL41" s="395"/>
      <c r="BM41" s="395"/>
    </row>
    <row r="42" spans="1:65" ht="18" customHeight="1" x14ac:dyDescent="0.2">
      <c r="A42" s="352"/>
      <c r="B42" s="353"/>
      <c r="C42" s="368" t="s">
        <v>547</v>
      </c>
      <c r="D42" s="376"/>
      <c r="E42" s="862" t="s">
        <v>46</v>
      </c>
      <c r="F42" s="377">
        <f>IF(E39=0,0,VLOOKUP(E42,KEUZELIJSTEN!$C$35:$D$38,2))</f>
        <v>0</v>
      </c>
      <c r="G42" s="369"/>
      <c r="H42" s="5" t="s">
        <v>17</v>
      </c>
      <c r="I42" s="366"/>
      <c r="J42" s="360"/>
      <c r="BK42" s="395"/>
      <c r="BL42" s="395"/>
      <c r="BM42" s="395"/>
    </row>
    <row r="43" spans="1:65" ht="18" customHeight="1" thickBot="1" x14ac:dyDescent="0.25">
      <c r="A43" s="352"/>
      <c r="B43" s="353"/>
      <c r="C43" s="368" t="s">
        <v>551</v>
      </c>
      <c r="D43" s="376"/>
      <c r="E43" s="364"/>
      <c r="F43" s="370">
        <v>0.3</v>
      </c>
      <c r="G43" s="371"/>
      <c r="H43" s="372" t="s">
        <v>27</v>
      </c>
      <c r="I43" s="373"/>
      <c r="BK43" s="395"/>
      <c r="BL43" s="395"/>
      <c r="BM43" s="395"/>
    </row>
    <row r="44" spans="1:65" ht="18" customHeight="1" thickTop="1" x14ac:dyDescent="0.2">
      <c r="A44" s="352"/>
      <c r="B44" s="367"/>
      <c r="C44" s="362" t="s">
        <v>552</v>
      </c>
      <c r="D44" s="359"/>
      <c r="E44" s="365"/>
      <c r="F44" s="374">
        <f>IF(E39=0,0,(F12+F42+F43))</f>
        <v>4.3</v>
      </c>
      <c r="G44" s="369"/>
      <c r="H44" s="375" t="s">
        <v>17</v>
      </c>
      <c r="I44" s="366"/>
      <c r="BK44" s="395"/>
      <c r="BL44" s="395"/>
      <c r="BM44" s="395"/>
    </row>
    <row r="45" spans="1:65" ht="18" customHeight="1" x14ac:dyDescent="0.2">
      <c r="A45" s="352"/>
      <c r="B45" s="358" t="s">
        <v>554</v>
      </c>
      <c r="C45" s="359"/>
      <c r="D45" s="359"/>
      <c r="E45" s="365"/>
      <c r="F45" s="359"/>
      <c r="G45" s="360"/>
      <c r="H45" s="357"/>
      <c r="I45" s="366"/>
      <c r="BK45" s="395"/>
      <c r="BL45" s="395"/>
      <c r="BM45" s="395"/>
    </row>
    <row r="46" spans="1:65" ht="18" customHeight="1" x14ac:dyDescent="0.2">
      <c r="A46" s="1286"/>
      <c r="B46" s="358"/>
      <c r="C46" s="362" t="s">
        <v>876</v>
      </c>
      <c r="D46" s="359"/>
      <c r="E46" s="862" t="s">
        <v>25</v>
      </c>
      <c r="F46" s="2" t="s">
        <v>880</v>
      </c>
      <c r="G46" s="365"/>
      <c r="H46" s="403" t="s">
        <v>17</v>
      </c>
      <c r="I46" s="366"/>
      <c r="BK46" s="395"/>
      <c r="BL46" s="395"/>
      <c r="BM46" s="395"/>
    </row>
    <row r="47" spans="1:65" ht="18" customHeight="1" x14ac:dyDescent="0.2">
      <c r="A47" s="352"/>
      <c r="B47" s="367"/>
      <c r="C47" s="362" t="s">
        <v>430</v>
      </c>
      <c r="D47" s="359"/>
      <c r="E47" s="376"/>
      <c r="F47" s="1415">
        <f>IF(E46="nee",$F$15,$F$15+F46)</f>
        <v>1184</v>
      </c>
      <c r="G47" s="365"/>
      <c r="H47" s="357" t="s">
        <v>383</v>
      </c>
      <c r="I47" s="366"/>
      <c r="J47" s="360"/>
      <c r="BK47" s="395"/>
      <c r="BL47" s="395"/>
      <c r="BM47" s="395"/>
    </row>
    <row r="48" spans="1:65" ht="18" customHeight="1" x14ac:dyDescent="0.2">
      <c r="A48" s="378"/>
      <c r="B48" s="367"/>
      <c r="C48" s="368" t="s">
        <v>547</v>
      </c>
      <c r="D48" s="376"/>
      <c r="E48" s="2" t="s">
        <v>299</v>
      </c>
      <c r="F48" s="377">
        <f>VLOOKUP(E48,KEUZELIJSTEN!$C$35:$D$38,2)</f>
        <v>0.3</v>
      </c>
      <c r="G48" s="369"/>
      <c r="H48" s="5" t="s">
        <v>17</v>
      </c>
      <c r="I48" s="366"/>
      <c r="J48" s="360"/>
      <c r="BK48" s="395"/>
      <c r="BL48" s="395"/>
      <c r="BM48" s="395"/>
    </row>
    <row r="49" spans="1:155" ht="18" customHeight="1" x14ac:dyDescent="0.2">
      <c r="A49" s="378"/>
      <c r="B49" s="367"/>
      <c r="C49" s="368" t="s">
        <v>551</v>
      </c>
      <c r="D49" s="359"/>
      <c r="E49" s="364"/>
      <c r="F49" s="379">
        <f>L196</f>
        <v>0.2</v>
      </c>
      <c r="G49" s="365"/>
      <c r="H49" s="5" t="s">
        <v>27</v>
      </c>
      <c r="I49" s="373"/>
      <c r="BK49" s="395"/>
      <c r="BL49" s="395"/>
      <c r="BM49" s="395"/>
    </row>
    <row r="50" spans="1:155" ht="18" customHeight="1" x14ac:dyDescent="0.2">
      <c r="A50" s="378"/>
      <c r="B50" s="358" t="s">
        <v>556</v>
      </c>
      <c r="C50" s="359"/>
      <c r="D50" s="359"/>
      <c r="E50" s="365"/>
      <c r="F50" s="359"/>
      <c r="G50" s="360"/>
      <c r="H50" s="357"/>
      <c r="I50" s="366"/>
      <c r="J50" s="360"/>
      <c r="BK50" s="395"/>
      <c r="BL50" s="395"/>
      <c r="BM50" s="395"/>
    </row>
    <row r="51" spans="1:155" ht="18" customHeight="1" x14ac:dyDescent="0.2">
      <c r="A51" s="378"/>
      <c r="B51" s="367"/>
      <c r="C51" s="362" t="s">
        <v>557</v>
      </c>
      <c r="D51" s="359"/>
      <c r="E51" s="364"/>
      <c r="F51" s="343">
        <f>F28+E32*F34+E39*F41</f>
        <v>16276</v>
      </c>
      <c r="G51" s="365"/>
      <c r="H51" s="357" t="s">
        <v>383</v>
      </c>
      <c r="I51" s="366"/>
      <c r="J51" s="360"/>
      <c r="BK51" s="395"/>
      <c r="BL51" s="395"/>
      <c r="BM51" s="395"/>
    </row>
    <row r="52" spans="1:155" ht="18" customHeight="1" x14ac:dyDescent="0.2">
      <c r="A52" s="378"/>
      <c r="B52" s="367"/>
      <c r="C52" s="362" t="s">
        <v>546</v>
      </c>
      <c r="D52" s="1862">
        <f>IF(F52&lt;5,"",IF(OR(D19="ongeschoord skelet",D21="ongeschoord skelet"),"Ongeschoord skelet niet mogelijk, kies een ander systeem.",0))</f>
        <v>0</v>
      </c>
      <c r="E52" s="1862"/>
      <c r="F52" s="342">
        <f>E32+E39+1</f>
        <v>14</v>
      </c>
      <c r="G52" s="365"/>
      <c r="H52" s="357" t="s">
        <v>93</v>
      </c>
      <c r="I52" s="366"/>
      <c r="J52" s="360"/>
      <c r="K52" s="426"/>
      <c r="L52" s="426"/>
      <c r="M52" s="426"/>
      <c r="N52" s="426"/>
      <c r="O52" s="426"/>
      <c r="P52" s="426"/>
      <c r="BK52" s="395"/>
      <c r="BL52" s="395"/>
      <c r="BM52" s="395"/>
    </row>
    <row r="53" spans="1:155" ht="18" customHeight="1" x14ac:dyDescent="0.2">
      <c r="A53" s="378"/>
      <c r="B53" s="367"/>
      <c r="C53" s="362" t="s">
        <v>1222</v>
      </c>
      <c r="D53" s="1813" t="str">
        <f>IF(F53&gt;75,"Te hoog (75m&lt;) om stabiliteit te berekenen","")</f>
        <v/>
      </c>
      <c r="F53" s="1230">
        <f>F30+E32*F37+E39*F44+F48+F49</f>
        <v>64.5</v>
      </c>
      <c r="H53" s="1231" t="s">
        <v>858</v>
      </c>
      <c r="I53" s="373"/>
      <c r="K53" s="362"/>
      <c r="L53" s="359"/>
      <c r="M53" s="360"/>
      <c r="N53" s="426"/>
      <c r="O53" s="360"/>
      <c r="P53" s="633"/>
      <c r="BK53" s="395"/>
      <c r="BL53" s="395"/>
      <c r="BM53" s="395"/>
    </row>
    <row r="54" spans="1:155" ht="18" customHeight="1" x14ac:dyDescent="0.2">
      <c r="A54" s="378"/>
      <c r="C54" s="368" t="s">
        <v>565</v>
      </c>
      <c r="D54" s="360"/>
      <c r="E54" s="365"/>
      <c r="F54" s="860">
        <f>F30+(E32-1)*(F12+F35+0.25)+E39*(F12+F42+0.25)</f>
        <v>57.9</v>
      </c>
      <c r="G54" s="369"/>
      <c r="H54" s="5" t="s">
        <v>635</v>
      </c>
      <c r="I54" s="373"/>
      <c r="BK54" s="395"/>
      <c r="BL54" s="395"/>
      <c r="BM54" s="395"/>
    </row>
    <row r="55" spans="1:155" s="380" customFormat="1" ht="18" customHeight="1" x14ac:dyDescent="0.2">
      <c r="A55" s="378"/>
      <c r="B55" s="367"/>
      <c r="C55" s="368" t="s">
        <v>50</v>
      </c>
      <c r="D55" s="360"/>
      <c r="E55" s="1301" t="str">
        <f>IF(OR(H26="woningbouw",H32="woningbouw",H39="woningbouw"),"woningbouw","utiliteitsbouw")</f>
        <v>woningbouw</v>
      </c>
      <c r="F55" s="865">
        <f>IF(AND(E55="woningbouw",F54&lt;7),60,IF(AND(E55="utiliteitsbouw",F54&lt;5),30,IF(AND(E55="woningbouw",F54&gt;7,F54&lt;13),90,IF(AND(E55="utiliteitsbouw",F54&gt;5,F54&lt;13),90,IF(F54&gt;13,120,"")))))</f>
        <v>120</v>
      </c>
      <c r="G55" s="360"/>
      <c r="H55" s="5" t="s">
        <v>558</v>
      </c>
      <c r="I55" s="373"/>
      <c r="J55" s="403"/>
      <c r="K55" s="362"/>
      <c r="L55" s="359"/>
      <c r="M55" s="360"/>
      <c r="N55" s="377"/>
      <c r="O55" s="369"/>
      <c r="P55" s="634"/>
      <c r="Q55" s="395"/>
      <c r="R55" s="395"/>
      <c r="S55" s="395"/>
      <c r="BN55" s="403"/>
      <c r="BO55" s="403"/>
      <c r="BP55" s="403"/>
      <c r="BQ55" s="403"/>
      <c r="BR55" s="403"/>
      <c r="BS55" s="403"/>
      <c r="BT55" s="403"/>
      <c r="BU55" s="403"/>
      <c r="BV55" s="403"/>
      <c r="BW55" s="403"/>
      <c r="BX55" s="403"/>
      <c r="BY55" s="403"/>
      <c r="BZ55" s="403"/>
      <c r="CA55" s="403"/>
      <c r="CB55" s="403"/>
      <c r="CC55" s="403"/>
      <c r="CD55" s="403"/>
      <c r="CE55" s="403"/>
      <c r="CF55" s="403"/>
      <c r="CG55" s="403"/>
      <c r="CH55" s="403"/>
      <c r="CI55" s="403"/>
      <c r="CJ55" s="403"/>
      <c r="CK55" s="403"/>
      <c r="CL55" s="403"/>
      <c r="CM55" s="403"/>
      <c r="CN55" s="403"/>
      <c r="CO55" s="403"/>
      <c r="CP55" s="403"/>
      <c r="CQ55" s="403"/>
      <c r="CR55" s="403"/>
      <c r="CS55" s="403"/>
      <c r="CT55" s="403"/>
      <c r="CU55" s="403"/>
      <c r="CV55" s="403"/>
      <c r="CW55" s="403"/>
      <c r="CX55" s="403"/>
      <c r="CY55" s="403"/>
      <c r="CZ55" s="403"/>
      <c r="DA55" s="403"/>
      <c r="DB55" s="403"/>
      <c r="DC55" s="403"/>
      <c r="DD55" s="403"/>
      <c r="DE55" s="403"/>
      <c r="DF55" s="403"/>
      <c r="DG55" s="403"/>
      <c r="DH55" s="403"/>
      <c r="DI55" s="403"/>
      <c r="DJ55" s="403"/>
      <c r="DK55" s="403"/>
      <c r="DL55" s="403"/>
      <c r="DM55" s="403"/>
      <c r="DN55" s="403"/>
      <c r="DO55" s="403"/>
      <c r="DP55" s="403"/>
      <c r="DQ55" s="403"/>
      <c r="DR55" s="403"/>
      <c r="DS55" s="403"/>
      <c r="DT55" s="403"/>
      <c r="DU55" s="403"/>
      <c r="DV55" s="403"/>
      <c r="DW55" s="403"/>
      <c r="DX55" s="403"/>
      <c r="DY55" s="403"/>
      <c r="DZ55" s="403"/>
      <c r="EA55" s="403"/>
      <c r="EB55" s="403"/>
      <c r="EC55" s="403"/>
      <c r="ED55" s="403"/>
      <c r="EE55" s="403"/>
      <c r="EF55" s="403"/>
      <c r="EG55" s="403"/>
      <c r="EH55" s="403"/>
      <c r="EI55" s="403"/>
      <c r="EJ55" s="403"/>
      <c r="EK55" s="403"/>
      <c r="EL55" s="403"/>
      <c r="EM55" s="403"/>
      <c r="EN55" s="403"/>
      <c r="EO55" s="403"/>
      <c r="EP55" s="403"/>
      <c r="EQ55" s="403"/>
      <c r="ER55" s="403"/>
      <c r="ES55" s="403"/>
      <c r="ET55" s="403"/>
      <c r="EU55" s="403"/>
      <c r="EV55" s="403"/>
      <c r="EW55" s="403"/>
      <c r="EX55" s="403"/>
      <c r="EY55" s="403"/>
    </row>
    <row r="56" spans="1:155" ht="18" customHeight="1" x14ac:dyDescent="0.2">
      <c r="A56" s="385"/>
      <c r="B56" s="386"/>
      <c r="C56" s="387"/>
      <c r="D56" s="387"/>
      <c r="E56" s="388"/>
      <c r="F56" s="387"/>
      <c r="G56" s="388"/>
      <c r="H56" s="389"/>
      <c r="I56" s="390"/>
      <c r="J56" s="360"/>
      <c r="BK56" s="395"/>
      <c r="BL56" s="395"/>
      <c r="BM56" s="395"/>
      <c r="BN56" s="380"/>
      <c r="BO56" s="380"/>
    </row>
    <row r="57" spans="1:155" ht="12.75" x14ac:dyDescent="0.2">
      <c r="A57" s="360"/>
      <c r="B57" s="365"/>
      <c r="C57" s="368"/>
      <c r="D57" s="360"/>
      <c r="E57" s="360"/>
      <c r="F57" s="392"/>
      <c r="G57" s="392"/>
      <c r="H57" s="393"/>
      <c r="I57" s="394"/>
      <c r="J57" s="360"/>
      <c r="BK57" s="395"/>
      <c r="BL57" s="395"/>
      <c r="BM57" s="395"/>
      <c r="BP57" s="380"/>
      <c r="BQ57" s="380"/>
      <c r="BR57" s="380"/>
      <c r="BS57" s="380"/>
      <c r="BT57" s="380"/>
      <c r="BU57" s="380"/>
      <c r="BV57" s="380"/>
      <c r="BW57" s="380"/>
      <c r="BX57" s="380"/>
      <c r="BY57" s="380"/>
      <c r="BZ57" s="380"/>
      <c r="CA57" s="380"/>
      <c r="CB57" s="380"/>
      <c r="CC57" s="380"/>
      <c r="CD57" s="380"/>
      <c r="CE57" s="380"/>
      <c r="CF57" s="380"/>
      <c r="CG57" s="380"/>
      <c r="CH57" s="380"/>
      <c r="CI57" s="380"/>
      <c r="CJ57" s="380"/>
      <c r="CK57" s="380"/>
      <c r="CL57" s="380"/>
      <c r="CM57" s="380"/>
      <c r="CN57" s="380"/>
      <c r="CO57" s="380"/>
      <c r="CP57" s="380"/>
      <c r="CQ57" s="380"/>
      <c r="CR57" s="380"/>
      <c r="CS57" s="380"/>
      <c r="CT57" s="380"/>
      <c r="CU57" s="380"/>
      <c r="CV57" s="380"/>
      <c r="CW57" s="380"/>
      <c r="CX57" s="380"/>
      <c r="CY57" s="380"/>
      <c r="CZ57" s="380"/>
      <c r="DA57" s="380"/>
      <c r="DB57" s="380"/>
      <c r="DC57" s="380"/>
      <c r="DD57" s="380"/>
      <c r="DE57" s="380"/>
      <c r="DF57" s="380"/>
      <c r="DG57" s="380"/>
      <c r="DH57" s="380"/>
      <c r="DI57" s="380"/>
      <c r="DJ57" s="380"/>
      <c r="DK57" s="380"/>
      <c r="DL57" s="380"/>
      <c r="DM57" s="380"/>
      <c r="DN57" s="380"/>
      <c r="DO57" s="380"/>
      <c r="DP57" s="380"/>
      <c r="DQ57" s="380"/>
      <c r="DR57" s="380"/>
      <c r="DS57" s="380"/>
      <c r="DT57" s="380"/>
      <c r="DU57" s="380"/>
      <c r="DV57" s="380"/>
      <c r="DW57" s="380"/>
      <c r="DX57" s="380"/>
      <c r="DY57" s="380"/>
      <c r="DZ57" s="380"/>
      <c r="EA57" s="380"/>
      <c r="EB57" s="380"/>
      <c r="EC57" s="380"/>
      <c r="ED57" s="380"/>
      <c r="EE57" s="380"/>
      <c r="EF57" s="380"/>
      <c r="EG57" s="380"/>
      <c r="EH57" s="380"/>
      <c r="EI57" s="380"/>
      <c r="EJ57" s="380"/>
      <c r="EK57" s="380"/>
      <c r="EL57" s="380"/>
      <c r="EM57" s="380"/>
      <c r="EN57" s="380"/>
      <c r="EO57" s="380"/>
      <c r="EP57" s="380"/>
      <c r="EQ57" s="380"/>
      <c r="ER57" s="380"/>
      <c r="ES57" s="380"/>
      <c r="ET57" s="380"/>
      <c r="EU57" s="380"/>
      <c r="EV57" s="380"/>
      <c r="EW57" s="380"/>
      <c r="EX57" s="380"/>
      <c r="EY57" s="380"/>
    </row>
    <row r="58" spans="1:155" ht="18" customHeight="1" x14ac:dyDescent="0.2">
      <c r="A58" s="359"/>
      <c r="B58" s="367"/>
      <c r="C58" s="362"/>
      <c r="D58" s="359"/>
      <c r="E58" s="360"/>
      <c r="F58" s="392"/>
      <c r="G58" s="396"/>
      <c r="H58" s="393"/>
      <c r="I58" s="397"/>
      <c r="J58" s="360"/>
      <c r="BK58" s="395"/>
      <c r="BL58" s="395"/>
      <c r="BM58" s="395"/>
    </row>
    <row r="59" spans="1:155" ht="30" x14ac:dyDescent="0.2">
      <c r="A59" s="398"/>
      <c r="B59" s="399" t="s">
        <v>303</v>
      </c>
      <c r="C59" s="399"/>
      <c r="D59" s="399"/>
      <c r="E59" s="399"/>
      <c r="F59" s="399"/>
      <c r="G59" s="400"/>
      <c r="H59" s="401"/>
      <c r="I59" s="402"/>
      <c r="BK59" s="395"/>
      <c r="BL59" s="395"/>
      <c r="BM59" s="395"/>
    </row>
    <row r="60" spans="1:155" ht="18" customHeight="1" thickBot="1" x14ac:dyDescent="0.25">
      <c r="A60" s="359"/>
      <c r="G60" s="405"/>
      <c r="H60" s="406"/>
      <c r="I60" s="407"/>
      <c r="J60" s="359"/>
      <c r="BK60" s="395"/>
      <c r="BL60" s="395"/>
      <c r="BM60" s="395"/>
    </row>
    <row r="61" spans="1:155" ht="18" customHeight="1" thickBot="1" x14ac:dyDescent="0.25">
      <c r="A61" s="408"/>
      <c r="B61" s="409" t="s">
        <v>222</v>
      </c>
      <c r="C61" s="410"/>
      <c r="D61" s="411"/>
      <c r="E61" s="1279"/>
      <c r="F61" s="412"/>
      <c r="G61" s="360"/>
      <c r="H61" s="413" t="s">
        <v>825</v>
      </c>
      <c r="I61" s="414"/>
      <c r="J61" s="359"/>
      <c r="K61" s="415" t="s">
        <v>516</v>
      </c>
      <c r="L61" s="416"/>
      <c r="M61" s="416"/>
      <c r="N61" s="416"/>
      <c r="O61" s="416"/>
      <c r="P61" s="416"/>
      <c r="Q61" s="416"/>
      <c r="R61" s="416"/>
      <c r="S61" s="417"/>
      <c r="BK61" s="395"/>
      <c r="BL61" s="395"/>
      <c r="BM61" s="395"/>
    </row>
    <row r="62" spans="1:155" ht="18" customHeight="1" x14ac:dyDescent="0.2">
      <c r="A62" s="418"/>
      <c r="B62" s="419"/>
      <c r="C62" s="420" t="s">
        <v>227</v>
      </c>
      <c r="D62" s="2">
        <v>5.4</v>
      </c>
      <c r="E62" s="421" t="s">
        <v>17</v>
      </c>
      <c r="F62" s="422"/>
      <c r="G62" s="360"/>
      <c r="H62" s="423"/>
      <c r="I62" s="424"/>
      <c r="J62" s="359"/>
      <c r="K62" s="425" t="s">
        <v>587</v>
      </c>
      <c r="L62" s="426"/>
      <c r="M62" s="426"/>
      <c r="N62" s="426"/>
      <c r="O62" s="426"/>
      <c r="P62" s="427"/>
      <c r="Q62" s="426"/>
      <c r="R62" s="426"/>
      <c r="S62" s="428"/>
      <c r="BK62" s="395"/>
      <c r="BL62" s="395"/>
      <c r="BM62" s="395"/>
    </row>
    <row r="63" spans="1:155" ht="18" customHeight="1" x14ac:dyDescent="0.2">
      <c r="A63" s="418"/>
      <c r="B63" s="429"/>
      <c r="C63" s="430" t="s">
        <v>223</v>
      </c>
      <c r="D63" s="2" t="s">
        <v>225</v>
      </c>
      <c r="E63" s="1863">
        <f>IF(AND(D63="fundering op staal",F52&gt;=3),"Let op! Geen fundering op staal mogelijk.",0)</f>
        <v>0</v>
      </c>
      <c r="F63" s="1864"/>
      <c r="G63" s="392"/>
      <c r="H63" s="431"/>
      <c r="I63" s="366"/>
      <c r="J63" s="359"/>
      <c r="K63" s="432" t="s">
        <v>492</v>
      </c>
      <c r="L63" s="426"/>
      <c r="M63" s="426"/>
      <c r="N63" s="426"/>
      <c r="O63" s="426"/>
      <c r="P63" s="433"/>
      <c r="Q63" s="426"/>
      <c r="R63" s="426"/>
      <c r="S63" s="428"/>
      <c r="BK63" s="395"/>
      <c r="BL63" s="395"/>
      <c r="BM63" s="395"/>
    </row>
    <row r="64" spans="1:155" ht="18" customHeight="1" x14ac:dyDescent="0.2">
      <c r="A64" s="418"/>
      <c r="B64" s="429"/>
      <c r="C64" s="434" t="str">
        <f>IF(D63="fundering op staal",0,"paaldraagvermogen [kN] en paallengte [m]")</f>
        <v>paaldraagvermogen [kN] en paallengte [m]</v>
      </c>
      <c r="D64" s="3">
        <v>1500</v>
      </c>
      <c r="E64" s="1280">
        <v>20</v>
      </c>
      <c r="F64" s="435"/>
      <c r="G64" s="365"/>
      <c r="H64" s="431"/>
      <c r="I64" s="366"/>
      <c r="K64" s="432" t="s">
        <v>31</v>
      </c>
      <c r="L64" s="701" t="str">
        <f>D79</f>
        <v>geen</v>
      </c>
      <c r="M64" s="436"/>
      <c r="N64" s="687">
        <f>VLOOKUP(L64,KEUZELIJSTEN!$A$15:$D$20,2,0)</f>
        <v>0</v>
      </c>
      <c r="O64" s="433" t="s">
        <v>382</v>
      </c>
      <c r="P64" s="426"/>
      <c r="Q64" s="426"/>
      <c r="R64" s="426"/>
      <c r="S64" s="428"/>
      <c r="BK64" s="395"/>
      <c r="BL64" s="395"/>
      <c r="BM64" s="395"/>
    </row>
    <row r="65" spans="1:62" ht="15" customHeight="1" x14ac:dyDescent="0.2">
      <c r="A65" s="1366"/>
      <c r="B65" s="1328"/>
      <c r="C65" s="1313" t="s">
        <v>143</v>
      </c>
      <c r="D65" s="1314">
        <f>IF(D63="prefab betonnen heipalen",'07_FUNDERING'!D37,0)</f>
        <v>45.864831653969027</v>
      </c>
      <c r="E65" s="1315" t="s">
        <v>889</v>
      </c>
      <c r="F65" s="1319"/>
      <c r="G65" s="1372"/>
      <c r="H65" s="1333">
        <f>D65</f>
        <v>45.864831653969027</v>
      </c>
      <c r="I65" s="1319" t="s">
        <v>826</v>
      </c>
      <c r="K65" s="432" t="s">
        <v>33</v>
      </c>
      <c r="L65" s="701" t="str">
        <f>D80</f>
        <v>licht 0,5 kN/m2</v>
      </c>
      <c r="M65" s="436"/>
      <c r="N65" s="687">
        <f>VLOOKUP(L65,KEUZELIJSTEN!$A$28:$D$31,2,0)</f>
        <v>0.5</v>
      </c>
      <c r="O65" s="433" t="s">
        <v>382</v>
      </c>
      <c r="P65" s="858" t="s">
        <v>623</v>
      </c>
      <c r="Q65" s="426"/>
      <c r="R65" s="426"/>
      <c r="S65" s="428"/>
      <c r="BJ65" s="403"/>
    </row>
    <row r="66" spans="1:62" ht="15" customHeight="1" x14ac:dyDescent="0.2">
      <c r="A66" s="1366"/>
      <c r="B66" s="1328"/>
      <c r="C66" s="1313" t="s">
        <v>617</v>
      </c>
      <c r="D66" s="1314">
        <f>IF(D63="trillingsarm aangebrachte palen",'07_FUNDERING'!D37,IF(D63="fundering op staal",'07_FUNDERING'!D51,0))</f>
        <v>0</v>
      </c>
      <c r="E66" s="1315" t="s">
        <v>889</v>
      </c>
      <c r="F66" s="1319"/>
      <c r="G66" s="1372"/>
      <c r="H66" s="1333">
        <f>D66</f>
        <v>0</v>
      </c>
      <c r="I66" s="1319" t="s">
        <v>826</v>
      </c>
      <c r="K66" s="425" t="s">
        <v>491</v>
      </c>
      <c r="L66" s="433"/>
      <c r="M66" s="433"/>
      <c r="N66" s="703">
        <f>N64</f>
        <v>0</v>
      </c>
      <c r="O66" s="461" t="s">
        <v>387</v>
      </c>
      <c r="P66" s="438"/>
      <c r="Q66" s="438"/>
      <c r="R66" s="426"/>
      <c r="S66" s="428"/>
    </row>
    <row r="67" spans="1:62" ht="15" customHeight="1" x14ac:dyDescent="0.2">
      <c r="A67" s="1366"/>
      <c r="B67" s="1328"/>
      <c r="C67" s="1313" t="s">
        <v>91</v>
      </c>
      <c r="D67" s="1314">
        <f>IF(D63="fundering op staal",'07_FUNDERING'!D52,'07_FUNDERING'!D38)</f>
        <v>2.2502433030228555</v>
      </c>
      <c r="E67" s="1315" t="s">
        <v>889</v>
      </c>
      <c r="F67" s="1332"/>
      <c r="G67" s="1344"/>
      <c r="H67" s="1333">
        <f>D67</f>
        <v>2.2502433030228555</v>
      </c>
      <c r="I67" s="1319" t="s">
        <v>826</v>
      </c>
      <c r="K67" s="440" t="s">
        <v>231</v>
      </c>
      <c r="L67" s="469"/>
      <c r="M67" s="469"/>
      <c r="N67" s="703">
        <f>VLOOKUP(D78,'02_BG VLOER'!O4:P7,2,0)</f>
        <v>4</v>
      </c>
      <c r="O67" s="467" t="s">
        <v>381</v>
      </c>
      <c r="P67" s="438"/>
      <c r="Q67" s="438"/>
      <c r="R67" s="433"/>
      <c r="S67" s="443"/>
    </row>
    <row r="68" spans="1:62" ht="15" customHeight="1" x14ac:dyDescent="0.2">
      <c r="A68" s="1366"/>
      <c r="B68" s="1340"/>
      <c r="C68" s="1313"/>
      <c r="D68" s="1314"/>
      <c r="E68" s="1315"/>
      <c r="F68" s="1332"/>
      <c r="G68" s="1344"/>
      <c r="H68" s="1333"/>
      <c r="I68" s="1361"/>
      <c r="K68" s="425" t="s">
        <v>493</v>
      </c>
      <c r="L68" s="433"/>
      <c r="M68" s="433"/>
      <c r="N68" s="703">
        <f>N66+N67</f>
        <v>4</v>
      </c>
      <c r="O68" s="461" t="s">
        <v>387</v>
      </c>
      <c r="P68" s="438"/>
      <c r="Q68" s="438"/>
      <c r="R68" s="433"/>
      <c r="S68" s="443"/>
    </row>
    <row r="69" spans="1:62" ht="18" customHeight="1" x14ac:dyDescent="0.2">
      <c r="A69" s="418"/>
      <c r="B69" s="444" t="s">
        <v>680</v>
      </c>
      <c r="C69" s="445"/>
      <c r="D69" s="446"/>
      <c r="E69" s="1279" t="s">
        <v>383</v>
      </c>
      <c r="F69" s="447"/>
      <c r="G69" s="368"/>
      <c r="H69" s="413" t="s">
        <v>825</v>
      </c>
      <c r="I69" s="414"/>
      <c r="K69" s="448" t="s">
        <v>625</v>
      </c>
      <c r="L69" s="450"/>
      <c r="M69" s="450"/>
      <c r="N69" s="706">
        <f>VLOOKUP($F$26,KEUZELIJSTEN!$A$3:$B$11,2,0)+N65</f>
        <v>2.25</v>
      </c>
      <c r="O69" s="710" t="s">
        <v>387</v>
      </c>
      <c r="P69" s="451"/>
      <c r="Q69" s="451"/>
      <c r="R69" s="450"/>
      <c r="S69" s="452"/>
    </row>
    <row r="70" spans="1:62" ht="15" customHeight="1" x14ac:dyDescent="0.2">
      <c r="A70" s="1366"/>
      <c r="B70" s="1328"/>
      <c r="C70" s="1369" t="s">
        <v>142</v>
      </c>
      <c r="D70" s="1314">
        <f>IF(C64="paaldraagvermogen [kN] en paallengte [m]",'07_FUNDERING'!W31,IF(D63="fundering op staal",'07_FUNDERING'!D51,0))</f>
        <v>19.209437208159251</v>
      </c>
      <c r="E70" s="1315" t="s">
        <v>889</v>
      </c>
      <c r="F70" s="1370"/>
      <c r="G70" s="1344"/>
      <c r="H70" s="1333">
        <f>D70</f>
        <v>19.209437208159251</v>
      </c>
      <c r="I70" s="1319" t="s">
        <v>826</v>
      </c>
      <c r="K70" s="454"/>
      <c r="L70" s="457"/>
      <c r="M70" s="708" t="s">
        <v>37</v>
      </c>
      <c r="N70" s="709">
        <f>VLOOKUP($F$26,KEUZELIJSTEN!$A$3:$E$11,5,0)</f>
        <v>0.4</v>
      </c>
      <c r="O70" s="457"/>
      <c r="P70" s="456"/>
      <c r="Q70" s="456"/>
      <c r="R70" s="457"/>
      <c r="S70" s="458"/>
    </row>
    <row r="71" spans="1:62" ht="15" customHeight="1" x14ac:dyDescent="0.2">
      <c r="A71" s="1366"/>
      <c r="B71" s="1328"/>
      <c r="C71" s="1369" t="s">
        <v>91</v>
      </c>
      <c r="D71" s="1314">
        <f>IF(C64="paaldraagvermogen [kN] en paallengte [m]",'07_FUNDERING'!W32,IF(D63="fundering op staal",'07_FUNDERING'!D52,0))</f>
        <v>0.72035389530597194</v>
      </c>
      <c r="E71" s="1315" t="s">
        <v>889</v>
      </c>
      <c r="F71" s="1370"/>
      <c r="G71" s="1344"/>
      <c r="H71" s="1333">
        <f>D71</f>
        <v>0.72035389530597194</v>
      </c>
      <c r="I71" s="1319" t="s">
        <v>826</v>
      </c>
      <c r="K71" s="459" t="s">
        <v>626</v>
      </c>
      <c r="L71" s="433"/>
      <c r="M71" s="433"/>
      <c r="N71" s="629"/>
      <c r="O71" s="629"/>
      <c r="P71" s="460">
        <f>N66+N69</f>
        <v>2.25</v>
      </c>
      <c r="Q71" s="461" t="s">
        <v>16</v>
      </c>
      <c r="R71" s="462"/>
      <c r="S71" s="463"/>
    </row>
    <row r="72" spans="1:62" ht="18" customHeight="1" x14ac:dyDescent="0.2">
      <c r="A72" s="418"/>
      <c r="B72" s="429"/>
      <c r="C72" s="434" t="str">
        <f>IF(D17="dragende wanden",0,"poeren")</f>
        <v>poeren</v>
      </c>
      <c r="D72" s="464" t="str">
        <f>IF(C72="poeren",'07_FUNDERING'!D43,0)</f>
        <v>4-paalspoeren</v>
      </c>
      <c r="E72" s="359"/>
      <c r="F72" s="453"/>
      <c r="G72" s="368"/>
      <c r="H72" s="431"/>
      <c r="I72" s="366"/>
      <c r="K72" s="459" t="s">
        <v>627</v>
      </c>
      <c r="L72" s="433"/>
      <c r="M72" s="433"/>
      <c r="N72" s="629"/>
      <c r="O72" s="629"/>
      <c r="P72" s="441">
        <f>N68+N69</f>
        <v>6.25</v>
      </c>
      <c r="Q72" s="438" t="s">
        <v>387</v>
      </c>
      <c r="R72" s="426"/>
      <c r="S72" s="465"/>
    </row>
    <row r="73" spans="1:62" ht="15" customHeight="1" x14ac:dyDescent="0.3">
      <c r="A73" s="1366"/>
      <c r="B73" s="1328"/>
      <c r="C73" s="1369" t="str">
        <f>IF(D17="dragende wanden",0,"ihwg beton")</f>
        <v>ihwg beton</v>
      </c>
      <c r="D73" s="1314">
        <f>IF(C72="poeren",'07_FUNDERING'!D44,0)</f>
        <v>26.542147947898748</v>
      </c>
      <c r="E73" s="1315" t="s">
        <v>889</v>
      </c>
      <c r="F73" s="1370"/>
      <c r="G73" s="1344"/>
      <c r="H73" s="1333">
        <f>D73</f>
        <v>26.542147947898748</v>
      </c>
      <c r="I73" s="1319" t="s">
        <v>826</v>
      </c>
      <c r="K73" s="466" t="s">
        <v>395</v>
      </c>
      <c r="L73" s="467">
        <v>1.2</v>
      </c>
      <c r="M73" s="436" t="s">
        <v>59</v>
      </c>
      <c r="N73" s="468">
        <f>N66</f>
        <v>0</v>
      </c>
      <c r="O73" s="436" t="s">
        <v>60</v>
      </c>
      <c r="P73" s="469">
        <f>L73*N73</f>
        <v>0</v>
      </c>
      <c r="Q73" s="433" t="s">
        <v>16</v>
      </c>
      <c r="R73" s="426"/>
      <c r="S73" s="465"/>
    </row>
    <row r="74" spans="1:62" ht="15" customHeight="1" x14ac:dyDescent="0.3">
      <c r="A74" s="1366"/>
      <c r="B74" s="1328"/>
      <c r="C74" s="1369" t="str">
        <f>IF(D17="dragende wanden",0,"wapeningsstaal")</f>
        <v>wapeningsstaal</v>
      </c>
      <c r="D74" s="1314">
        <f>IF(C72="poeren",'07_FUNDERING'!D45,0)</f>
        <v>1.6588842467436717</v>
      </c>
      <c r="E74" s="1315" t="s">
        <v>889</v>
      </c>
      <c r="F74" s="1370"/>
      <c r="G74" s="1344"/>
      <c r="H74" s="1333">
        <f>D74</f>
        <v>1.6588842467436717</v>
      </c>
      <c r="I74" s="1319" t="s">
        <v>826</v>
      </c>
      <c r="K74" s="466" t="s">
        <v>396</v>
      </c>
      <c r="L74" s="467">
        <v>1.5</v>
      </c>
      <c r="M74" s="436" t="s">
        <v>59</v>
      </c>
      <c r="N74" s="468">
        <f>N69</f>
        <v>2.25</v>
      </c>
      <c r="O74" s="436" t="s">
        <v>60</v>
      </c>
      <c r="P74" s="468">
        <f>L74*N74</f>
        <v>3.375</v>
      </c>
      <c r="Q74" s="433" t="s">
        <v>61</v>
      </c>
      <c r="R74" s="470">
        <f>L74*N74*N70</f>
        <v>1.35</v>
      </c>
      <c r="S74" s="471" t="s">
        <v>397</v>
      </c>
    </row>
    <row r="75" spans="1:62" ht="15" customHeight="1" x14ac:dyDescent="0.2">
      <c r="A75" s="1366"/>
      <c r="B75" s="1324"/>
      <c r="C75" s="1369"/>
      <c r="D75" s="1314"/>
      <c r="E75" s="1315"/>
      <c r="F75" s="1371"/>
      <c r="G75" s="1344"/>
      <c r="H75" s="1333"/>
      <c r="I75" s="1361"/>
      <c r="K75" s="459" t="s">
        <v>628</v>
      </c>
      <c r="L75" s="433"/>
      <c r="M75" s="472"/>
      <c r="N75" s="473"/>
      <c r="O75" s="433"/>
      <c r="P75" s="460">
        <f>SUM(P73:P74)</f>
        <v>3.375</v>
      </c>
      <c r="Q75" s="461" t="s">
        <v>16</v>
      </c>
      <c r="R75" s="474">
        <f>P73+(P74*N70)</f>
        <v>1.35</v>
      </c>
      <c r="S75" s="475" t="s">
        <v>525</v>
      </c>
    </row>
    <row r="76" spans="1:62" ht="18" customHeight="1" x14ac:dyDescent="0.2">
      <c r="A76" s="418"/>
      <c r="B76" s="476" t="s">
        <v>266</v>
      </c>
      <c r="C76" s="477"/>
      <c r="D76" s="478"/>
      <c r="E76" s="1279" t="s">
        <v>383</v>
      </c>
      <c r="F76" s="479"/>
      <c r="G76" s="360"/>
      <c r="H76" s="413" t="s">
        <v>825</v>
      </c>
      <c r="I76" s="414"/>
      <c r="K76" s="459" t="s">
        <v>629</v>
      </c>
      <c r="L76" s="433"/>
      <c r="M76" s="472"/>
      <c r="N76" s="473"/>
      <c r="O76" s="433"/>
      <c r="P76" s="460">
        <f>P75+1.2*N67</f>
        <v>8.1750000000000007</v>
      </c>
      <c r="Q76" s="461" t="s">
        <v>16</v>
      </c>
      <c r="R76" s="474">
        <f>R75+1.2*N67</f>
        <v>6.15</v>
      </c>
      <c r="S76" s="475" t="s">
        <v>525</v>
      </c>
    </row>
    <row r="77" spans="1:62" ht="18" customHeight="1" x14ac:dyDescent="0.2">
      <c r="A77" s="418"/>
      <c r="B77" s="419"/>
      <c r="C77" s="420" t="s">
        <v>227</v>
      </c>
      <c r="D77" s="480">
        <f>D62</f>
        <v>5.4</v>
      </c>
      <c r="E77" s="481" t="s">
        <v>17</v>
      </c>
      <c r="F77" s="482"/>
      <c r="G77" s="483"/>
      <c r="H77" s="484"/>
      <c r="I77" s="351"/>
      <c r="K77" s="485" t="s">
        <v>302</v>
      </c>
      <c r="L77" s="486">
        <f>E78/1000</f>
        <v>0.2</v>
      </c>
      <c r="M77" s="449" t="s">
        <v>17</v>
      </c>
      <c r="N77" s="449"/>
      <c r="O77" s="449"/>
      <c r="P77" s="449"/>
      <c r="Q77" s="449"/>
      <c r="R77" s="449"/>
      <c r="S77" s="487"/>
    </row>
    <row r="78" spans="1:62" ht="18" customHeight="1" x14ac:dyDescent="0.2">
      <c r="A78" s="418"/>
      <c r="B78" s="429"/>
      <c r="C78" s="434" t="s">
        <v>270</v>
      </c>
      <c r="D78" s="2" t="s">
        <v>42</v>
      </c>
      <c r="E78" s="1274">
        <f>'02_BG VLOER'!C6</f>
        <v>200</v>
      </c>
      <c r="F78" s="1287"/>
      <c r="G78" s="488"/>
      <c r="H78" s="484"/>
      <c r="I78" s="366"/>
      <c r="K78" s="432" t="s">
        <v>34</v>
      </c>
      <c r="L78" s="524">
        <f>VLOOKUP(D79,KEUZELIJSTEN!$A$15:$D$20,4,0)</f>
        <v>0</v>
      </c>
      <c r="M78" s="426" t="s">
        <v>17</v>
      </c>
      <c r="N78" s="426"/>
      <c r="O78" s="426"/>
      <c r="P78" s="426"/>
      <c r="Q78" s="426"/>
      <c r="R78" s="426"/>
      <c r="S78" s="428"/>
    </row>
    <row r="79" spans="1:62" ht="18" customHeight="1" x14ac:dyDescent="0.2">
      <c r="A79" s="418"/>
      <c r="C79" s="368" t="s">
        <v>34</v>
      </c>
      <c r="D79" s="2" t="s">
        <v>46</v>
      </c>
      <c r="F79" s="435"/>
      <c r="G79" s="488"/>
      <c r="I79" s="366"/>
      <c r="K79" s="490" t="s">
        <v>496</v>
      </c>
      <c r="L79" s="491">
        <f>SUM(L77:L78)</f>
        <v>0.2</v>
      </c>
      <c r="M79" s="456" t="s">
        <v>17</v>
      </c>
      <c r="N79" s="455"/>
      <c r="O79" s="455"/>
      <c r="P79" s="455"/>
      <c r="Q79" s="455"/>
      <c r="R79" s="455"/>
      <c r="S79" s="492"/>
      <c r="AA79" s="438"/>
      <c r="AB79" s="438"/>
      <c r="AC79" s="426"/>
    </row>
    <row r="80" spans="1:62" ht="18" customHeight="1" x14ac:dyDescent="0.2">
      <c r="A80" s="418"/>
      <c r="C80" s="362" t="s">
        <v>894</v>
      </c>
      <c r="D80" s="2" t="s">
        <v>532</v>
      </c>
      <c r="F80" s="435"/>
      <c r="G80" s="488"/>
      <c r="I80" s="366"/>
      <c r="AA80" s="426"/>
      <c r="AB80" s="681"/>
      <c r="AC80" s="426"/>
    </row>
    <row r="81" spans="1:29" ht="15" customHeight="1" x14ac:dyDescent="0.2">
      <c r="A81" s="1366"/>
      <c r="B81" s="1328"/>
      <c r="C81" s="1313" t="s">
        <v>88</v>
      </c>
      <c r="D81" s="1314">
        <f>IF('02_BG VLOER'!C6=0,"vloertype niet mogelijk",'02_BG VLOER'!C7)</f>
        <v>303</v>
      </c>
      <c r="E81" s="1315" t="s">
        <v>889</v>
      </c>
      <c r="F81" s="1319"/>
      <c r="G81" s="1362"/>
      <c r="H81" s="1342">
        <f>D81*$F$28/$F$51</f>
        <v>22.041779306955025</v>
      </c>
      <c r="I81" s="1319" t="s">
        <v>826</v>
      </c>
      <c r="K81" s="442"/>
      <c r="L81" s="442"/>
      <c r="M81" s="442"/>
      <c r="N81" s="442"/>
      <c r="O81" s="442"/>
      <c r="P81" s="442"/>
      <c r="Q81" s="442"/>
      <c r="R81" s="442"/>
      <c r="S81" s="442"/>
      <c r="AA81" s="426"/>
      <c r="AB81" s="681"/>
      <c r="AC81" s="426"/>
    </row>
    <row r="82" spans="1:29" ht="15" customHeight="1" x14ac:dyDescent="0.2">
      <c r="A82" s="1366"/>
      <c r="B82" s="1328"/>
      <c r="C82" s="1313" t="s">
        <v>617</v>
      </c>
      <c r="D82" s="1314">
        <f>IF('02_BG VLOER'!C6=0,"vloertype niet mogelijk",'02_BG VLOER'!C8)</f>
        <v>144</v>
      </c>
      <c r="E82" s="1315" t="s">
        <v>889</v>
      </c>
      <c r="F82" s="1319"/>
      <c r="G82" s="1362"/>
      <c r="H82" s="1342">
        <f>D82*$F$28/$F$51</f>
        <v>10.475301056770705</v>
      </c>
      <c r="I82" s="1319" t="s">
        <v>826</v>
      </c>
      <c r="K82" s="442"/>
      <c r="L82" s="442"/>
      <c r="M82" s="442"/>
      <c r="N82" s="442"/>
      <c r="O82" s="442"/>
      <c r="P82" s="442"/>
      <c r="Q82" s="442"/>
      <c r="R82" s="442"/>
      <c r="S82" s="442"/>
      <c r="AA82" s="426"/>
      <c r="AB82" s="681"/>
      <c r="AC82" s="426"/>
    </row>
    <row r="83" spans="1:29" ht="15" customHeight="1" x14ac:dyDescent="0.2">
      <c r="A83" s="1366"/>
      <c r="B83" s="1328"/>
      <c r="C83" s="1367" t="s">
        <v>202</v>
      </c>
      <c r="D83" s="1314">
        <f>IF('02_BG VLOER'!C6=0,"vloertype niet mogelijk",'02_BG VLOER'!C10)</f>
        <v>2.9249999999999998</v>
      </c>
      <c r="E83" s="1315" t="s">
        <v>889</v>
      </c>
      <c r="F83" s="1332"/>
      <c r="G83" s="1344"/>
      <c r="H83" s="1333">
        <f>D83*$F$28/$F$51</f>
        <v>0.21277955271565493</v>
      </c>
      <c r="I83" s="1319" t="s">
        <v>826</v>
      </c>
      <c r="K83" s="442"/>
      <c r="L83" s="442"/>
      <c r="M83" s="442"/>
      <c r="N83" s="442"/>
      <c r="O83" s="442"/>
      <c r="P83" s="442"/>
      <c r="Q83" s="442"/>
      <c r="R83" s="442"/>
      <c r="S83" s="442"/>
      <c r="AA83" s="426"/>
      <c r="AB83" s="681"/>
      <c r="AC83" s="426"/>
    </row>
    <row r="84" spans="1:29" ht="15" customHeight="1" x14ac:dyDescent="0.2">
      <c r="A84" s="1366"/>
      <c r="B84" s="1328"/>
      <c r="C84" s="1313" t="s">
        <v>91</v>
      </c>
      <c r="D84" s="1314">
        <f>IF('02_BG VLOER'!C6=0,"vloertype niet mogelijk",'02_BG VLOER'!C11)</f>
        <v>3</v>
      </c>
      <c r="E84" s="1315" t="s">
        <v>889</v>
      </c>
      <c r="F84" s="1332"/>
      <c r="G84" s="1344"/>
      <c r="H84" s="1333">
        <f>D84*$F$28/$F$51</f>
        <v>0.21823543868272302</v>
      </c>
      <c r="I84" s="1319" t="s">
        <v>826</v>
      </c>
      <c r="K84" s="442"/>
      <c r="L84" s="442"/>
      <c r="M84" s="442"/>
      <c r="N84" s="442"/>
      <c r="O84" s="442"/>
      <c r="P84" s="442"/>
      <c r="Q84" s="442"/>
      <c r="R84" s="442"/>
      <c r="S84" s="442"/>
      <c r="AA84" s="426"/>
      <c r="AB84" s="681"/>
      <c r="AC84" s="426"/>
    </row>
    <row r="85" spans="1:29" ht="15" customHeight="1" x14ac:dyDescent="0.2">
      <c r="A85" s="1368"/>
      <c r="B85" s="1324"/>
      <c r="C85" s="1348"/>
      <c r="D85" s="1337"/>
      <c r="E85" s="1325"/>
      <c r="F85" s="1357"/>
      <c r="G85" s="1317"/>
      <c r="H85" s="1338"/>
      <c r="I85" s="1352"/>
      <c r="K85" s="442"/>
      <c r="L85" s="442"/>
      <c r="M85" s="442"/>
      <c r="N85" s="442"/>
      <c r="O85" s="442"/>
      <c r="P85" s="442"/>
      <c r="Q85" s="442"/>
      <c r="R85" s="442"/>
      <c r="S85" s="442"/>
      <c r="AA85" s="426"/>
      <c r="AB85" s="681"/>
      <c r="AC85" s="426"/>
    </row>
    <row r="86" spans="1:29" ht="18" customHeight="1" thickBot="1" x14ac:dyDescent="0.25">
      <c r="B86" s="496"/>
      <c r="E86" s="497"/>
      <c r="F86" s="498"/>
      <c r="H86" s="499"/>
      <c r="I86" s="500"/>
      <c r="AA86" s="426"/>
      <c r="AB86" s="681"/>
      <c r="AC86" s="426"/>
    </row>
    <row r="87" spans="1:29" ht="18" customHeight="1" thickBot="1" x14ac:dyDescent="0.25">
      <c r="A87" s="501"/>
      <c r="B87" s="476" t="s">
        <v>304</v>
      </c>
      <c r="C87" s="502"/>
      <c r="D87" s="503"/>
      <c r="E87" s="1279"/>
      <c r="F87" s="504"/>
      <c r="H87" s="413" t="s">
        <v>825</v>
      </c>
      <c r="I87" s="414"/>
      <c r="K87" s="415" t="s">
        <v>526</v>
      </c>
      <c r="L87" s="416"/>
      <c r="M87" s="416"/>
      <c r="N87" s="416"/>
      <c r="O87" s="416"/>
      <c r="P87" s="416"/>
      <c r="Q87" s="416"/>
      <c r="R87" s="416"/>
      <c r="S87" s="417"/>
      <c r="AA87" s="426"/>
      <c r="AB87" s="681"/>
      <c r="AC87" s="426"/>
    </row>
    <row r="88" spans="1:29" ht="18" customHeight="1" x14ac:dyDescent="0.2">
      <c r="A88" s="505" t="s">
        <v>523</v>
      </c>
      <c r="B88" s="506"/>
      <c r="C88" s="507" t="s">
        <v>211</v>
      </c>
      <c r="D88" s="3" t="s">
        <v>65</v>
      </c>
      <c r="E88" s="508" t="s">
        <v>524</v>
      </c>
      <c r="F88" s="509"/>
      <c r="H88" s="510"/>
      <c r="I88" s="366"/>
      <c r="K88" s="511" t="s">
        <v>587</v>
      </c>
      <c r="L88" s="426"/>
      <c r="M88" s="426"/>
      <c r="N88" s="426"/>
      <c r="O88" s="512"/>
      <c r="P88" s="427"/>
      <c r="Q88" s="426"/>
      <c r="R88" s="426"/>
      <c r="S88" s="428"/>
      <c r="AA88" s="426"/>
      <c r="AB88" s="681"/>
      <c r="AC88" s="426"/>
    </row>
    <row r="89" spans="1:29" ht="18" customHeight="1" x14ac:dyDescent="0.2">
      <c r="A89" s="513"/>
      <c r="B89" s="367"/>
      <c r="C89" s="430" t="s">
        <v>83</v>
      </c>
      <c r="D89" s="860">
        <f>IF(D17="dragende wanden",VLOOKUP(E18,D13:F14,3,0),IF(O114="niet",D120,IF(O114="ja",D107/D122)))</f>
        <v>3.7</v>
      </c>
      <c r="E89" s="728" t="s">
        <v>17</v>
      </c>
      <c r="F89" s="1849" t="s">
        <v>1247</v>
      </c>
      <c r="H89" s="510"/>
      <c r="I89" s="366"/>
      <c r="K89" s="514" t="s">
        <v>492</v>
      </c>
      <c r="L89" s="426"/>
      <c r="M89" s="426"/>
      <c r="N89" s="426"/>
      <c r="O89" s="426"/>
      <c r="P89" s="433"/>
      <c r="Q89" s="426"/>
      <c r="R89" s="426"/>
      <c r="S89" s="428"/>
      <c r="AA89" s="426"/>
      <c r="AB89" s="681"/>
      <c r="AC89" s="426"/>
    </row>
    <row r="90" spans="1:29" ht="18" customHeight="1" x14ac:dyDescent="0.2">
      <c r="A90" s="513"/>
      <c r="B90" s="367"/>
      <c r="C90" s="430" t="s">
        <v>281</v>
      </c>
      <c r="D90" s="2" t="s">
        <v>437</v>
      </c>
      <c r="E90" s="1273">
        <f>'03_VERD VLOEREN'!D20</f>
        <v>390</v>
      </c>
      <c r="F90" s="1850" t="s">
        <v>1248</v>
      </c>
      <c r="G90" s="488"/>
      <c r="H90" s="484"/>
      <c r="I90" s="366"/>
      <c r="J90" s="359"/>
      <c r="K90" s="700" t="s">
        <v>31</v>
      </c>
      <c r="L90" s="701" t="str">
        <f>D91</f>
        <v>geen</v>
      </c>
      <c r="M90" s="436"/>
      <c r="N90" s="687">
        <f>VLOOKUP(L90,KEUZELIJSTEN!$A$15:$D$20,2,0)</f>
        <v>0</v>
      </c>
      <c r="O90" s="426" t="s">
        <v>382</v>
      </c>
      <c r="P90" s="426"/>
      <c r="Q90" s="426"/>
      <c r="R90" s="426"/>
      <c r="S90" s="428"/>
      <c r="AA90" s="426"/>
      <c r="AB90" s="681"/>
      <c r="AC90" s="426"/>
    </row>
    <row r="91" spans="1:29" ht="18" customHeight="1" x14ac:dyDescent="0.2">
      <c r="A91" s="513"/>
      <c r="C91" s="368" t="s">
        <v>34</v>
      </c>
      <c r="D91" s="2" t="s">
        <v>46</v>
      </c>
      <c r="G91" s="488"/>
      <c r="I91" s="366"/>
      <c r="K91" s="700" t="s">
        <v>32</v>
      </c>
      <c r="L91" s="701" t="str">
        <f>D92</f>
        <v>licht 0,2 kN/m2</v>
      </c>
      <c r="M91" s="436"/>
      <c r="N91" s="687">
        <f>VLOOKUP(L91,KEUZELIJSTEN!$A$23:$D$25,2,0)</f>
        <v>0.2</v>
      </c>
      <c r="O91" s="426" t="s">
        <v>382</v>
      </c>
      <c r="P91" s="426"/>
      <c r="Q91" s="426"/>
      <c r="R91" s="426"/>
      <c r="S91" s="428"/>
      <c r="AA91" s="426"/>
      <c r="AB91" s="681"/>
      <c r="AC91" s="426"/>
    </row>
    <row r="92" spans="1:29" ht="18" customHeight="1" x14ac:dyDescent="0.2">
      <c r="A92" s="513"/>
      <c r="C92" s="368" t="s">
        <v>893</v>
      </c>
      <c r="D92" s="2" t="s">
        <v>609</v>
      </c>
      <c r="G92" s="488"/>
      <c r="I92" s="366"/>
      <c r="K92" s="700" t="s">
        <v>33</v>
      </c>
      <c r="L92" s="701" t="str">
        <f>D93</f>
        <v>licht 0,5 kN/m2</v>
      </c>
      <c r="M92" s="436"/>
      <c r="N92" s="687">
        <f>VLOOKUP(L92,KEUZELIJSTEN!$A$28:$D$31,2,0)</f>
        <v>0.5</v>
      </c>
      <c r="O92" s="426" t="s">
        <v>382</v>
      </c>
      <c r="P92" s="858" t="s">
        <v>623</v>
      </c>
      <c r="Q92" s="426"/>
      <c r="R92" s="426"/>
      <c r="S92" s="428"/>
      <c r="AA92" s="426"/>
      <c r="AB92" s="681"/>
      <c r="AC92" s="426"/>
    </row>
    <row r="93" spans="1:29" ht="18" customHeight="1" x14ac:dyDescent="0.2">
      <c r="A93" s="513"/>
      <c r="C93" s="362" t="s">
        <v>894</v>
      </c>
      <c r="D93" s="2" t="s">
        <v>532</v>
      </c>
      <c r="G93" s="488"/>
      <c r="I93" s="366"/>
      <c r="K93" s="702" t="s">
        <v>491</v>
      </c>
      <c r="L93" s="433"/>
      <c r="M93" s="433"/>
      <c r="N93" s="703">
        <f>SUM(N90:N91)</f>
        <v>0.2</v>
      </c>
      <c r="O93" s="438" t="s">
        <v>387</v>
      </c>
      <c r="P93" s="438"/>
      <c r="Q93" s="438"/>
      <c r="R93" s="426"/>
      <c r="S93" s="428"/>
      <c r="AA93" s="426"/>
      <c r="AB93" s="681"/>
      <c r="AC93" s="426"/>
    </row>
    <row r="94" spans="1:29" ht="15" customHeight="1" x14ac:dyDescent="0.2">
      <c r="A94" s="1363"/>
      <c r="B94" s="1340"/>
      <c r="C94" s="1313" t="s">
        <v>617</v>
      </c>
      <c r="D94" s="1335">
        <f>IF(E32=0,0,('03_VERD VLOEREN'!E20+'03_VERD VLOEREN'!J20))</f>
        <v>116.41</v>
      </c>
      <c r="E94" s="1315" t="s">
        <v>889</v>
      </c>
      <c r="F94" s="1315"/>
      <c r="G94" s="1362"/>
      <c r="H94" s="1342">
        <f t="shared" ref="H94:H103" si="0">D94*$F$34*$E$32/$F$51</f>
        <v>84.682624723519282</v>
      </c>
      <c r="I94" s="1319" t="s">
        <v>826</v>
      </c>
      <c r="K94" s="704" t="s">
        <v>231</v>
      </c>
      <c r="L94" s="469"/>
      <c r="M94" s="469"/>
      <c r="N94" s="703">
        <f>'03_VERD VLOEREN'!R20/100</f>
        <v>3.2237333333333336</v>
      </c>
      <c r="O94" s="442" t="s">
        <v>381</v>
      </c>
      <c r="P94" s="438"/>
      <c r="Q94" s="438"/>
      <c r="R94" s="433"/>
      <c r="S94" s="443"/>
      <c r="AA94" s="426"/>
      <c r="AB94" s="681"/>
      <c r="AC94" s="426"/>
    </row>
    <row r="95" spans="1:29" ht="15" customHeight="1" x14ac:dyDescent="0.2">
      <c r="A95" s="1363"/>
      <c r="B95" s="1340"/>
      <c r="C95" s="1313" t="s">
        <v>88</v>
      </c>
      <c r="D95" s="1335">
        <f>IF(E32=0,0,'03_VERD VLOEREN'!F20)</f>
        <v>168.00000000000003</v>
      </c>
      <c r="E95" s="1315" t="s">
        <v>889</v>
      </c>
      <c r="F95" s="1315"/>
      <c r="G95" s="1362"/>
      <c r="H95" s="1342">
        <f t="shared" si="0"/>
        <v>122.2118456623249</v>
      </c>
      <c r="I95" s="1319" t="s">
        <v>826</v>
      </c>
      <c r="K95" s="459" t="s">
        <v>493</v>
      </c>
      <c r="L95" s="433"/>
      <c r="M95" s="433"/>
      <c r="N95" s="703">
        <f>N93+N94</f>
        <v>3.4237333333333337</v>
      </c>
      <c r="O95" s="438" t="s">
        <v>387</v>
      </c>
      <c r="P95" s="438"/>
      <c r="Q95" s="438"/>
      <c r="R95" s="433"/>
      <c r="S95" s="443"/>
      <c r="AA95" s="426"/>
      <c r="AB95" s="681"/>
      <c r="AC95" s="426"/>
    </row>
    <row r="96" spans="1:29" ht="15" customHeight="1" x14ac:dyDescent="0.2">
      <c r="A96" s="1363"/>
      <c r="B96" s="1340"/>
      <c r="C96" s="1313" t="s">
        <v>91</v>
      </c>
      <c r="D96" s="1335">
        <f>IF(E32=0,0,('03_VERD VLOEREN'!G20+'03_VERD VLOEREN'!K20))</f>
        <v>1.97</v>
      </c>
      <c r="E96" s="1315" t="s">
        <v>889</v>
      </c>
      <c r="F96" s="1315"/>
      <c r="G96" s="1362"/>
      <c r="H96" s="1342">
        <f t="shared" si="0"/>
        <v>1.4330793806832145</v>
      </c>
      <c r="I96" s="1319" t="s">
        <v>826</v>
      </c>
      <c r="K96" s="705" t="s">
        <v>625</v>
      </c>
      <c r="L96" s="450"/>
      <c r="M96" s="450"/>
      <c r="N96" s="706">
        <f>VLOOKUP($F$32,KEUZELIJSTEN!$A$3:$B$11,2,0)+N92</f>
        <v>3</v>
      </c>
      <c r="O96" s="451" t="s">
        <v>387</v>
      </c>
      <c r="P96" s="451"/>
      <c r="Q96" s="451"/>
      <c r="R96" s="450"/>
      <c r="S96" s="452"/>
      <c r="AA96" s="426"/>
      <c r="AB96" s="681"/>
      <c r="AC96" s="426"/>
    </row>
    <row r="97" spans="1:29" ht="15" customHeight="1" x14ac:dyDescent="0.2">
      <c r="A97" s="1363"/>
      <c r="B97" s="1340"/>
      <c r="C97" s="1315" t="s">
        <v>202</v>
      </c>
      <c r="D97" s="1335">
        <f>IF(E32=0,0,'03_VERD VLOEREN'!H20)</f>
        <v>0</v>
      </c>
      <c r="E97" s="1315" t="s">
        <v>889</v>
      </c>
      <c r="F97" s="1344"/>
      <c r="G97" s="1362"/>
      <c r="H97" s="1342">
        <f t="shared" si="0"/>
        <v>0</v>
      </c>
      <c r="I97" s="1319" t="s">
        <v>826</v>
      </c>
      <c r="K97" s="707"/>
      <c r="L97" s="457"/>
      <c r="M97" s="708" t="s">
        <v>37</v>
      </c>
      <c r="N97" s="709">
        <f>VLOOKUP($F$32,KEUZELIJSTEN!$A$3:$E$11,5,0)</f>
        <v>0.5</v>
      </c>
      <c r="O97" s="455"/>
      <c r="P97" s="456"/>
      <c r="Q97" s="456"/>
      <c r="R97" s="457"/>
      <c r="S97" s="458"/>
      <c r="AA97" s="426"/>
      <c r="AB97" s="681"/>
      <c r="AC97" s="426"/>
    </row>
    <row r="98" spans="1:29" ht="15" customHeight="1" x14ac:dyDescent="0.2">
      <c r="A98" s="1363"/>
      <c r="B98" s="1340"/>
      <c r="C98" s="1315" t="s">
        <v>216</v>
      </c>
      <c r="D98" s="1335">
        <f>IF(E32=0,0,'03_VERD VLOEREN'!I20)</f>
        <v>30.083333333333332</v>
      </c>
      <c r="E98" s="1315" t="s">
        <v>889</v>
      </c>
      <c r="F98" s="1319"/>
      <c r="G98" s="1317"/>
      <c r="H98" s="1333">
        <f t="shared" si="0"/>
        <v>21.884164823461944</v>
      </c>
      <c r="I98" s="1319" t="s">
        <v>826</v>
      </c>
      <c r="K98" s="459" t="s">
        <v>630</v>
      </c>
      <c r="L98" s="426"/>
      <c r="M98" s="426"/>
      <c r="P98" s="460">
        <f>N93+N96</f>
        <v>3.2</v>
      </c>
      <c r="Q98" s="461" t="s">
        <v>16</v>
      </c>
      <c r="R98" s="462"/>
      <c r="S98" s="463"/>
      <c r="AA98" s="426"/>
      <c r="AB98" s="681"/>
      <c r="AC98" s="426"/>
    </row>
    <row r="99" spans="1:29" ht="15" customHeight="1" x14ac:dyDescent="0.2">
      <c r="A99" s="1363"/>
      <c r="B99" s="1340"/>
      <c r="C99" s="1315" t="s">
        <v>292</v>
      </c>
      <c r="D99" s="1335">
        <f>IF(E32=0,0,'03_VERD VLOEREN'!P20)</f>
        <v>5.91</v>
      </c>
      <c r="E99" s="1315" t="s">
        <v>890</v>
      </c>
      <c r="F99" s="1319"/>
      <c r="G99" s="1317"/>
      <c r="H99" s="1333">
        <f t="shared" si="0"/>
        <v>4.2992381420496439</v>
      </c>
      <c r="I99" s="1319" t="s">
        <v>826</v>
      </c>
      <c r="K99" s="459" t="s">
        <v>627</v>
      </c>
      <c r="L99" s="426"/>
      <c r="M99" s="426"/>
      <c r="P99" s="441">
        <f>N95+N96</f>
        <v>6.4237333333333337</v>
      </c>
      <c r="Q99" s="438" t="s">
        <v>387</v>
      </c>
      <c r="R99" s="426"/>
      <c r="S99" s="465"/>
      <c r="AA99" s="426"/>
      <c r="AB99" s="681"/>
      <c r="AC99" s="426"/>
    </row>
    <row r="100" spans="1:29" ht="15" customHeight="1" x14ac:dyDescent="0.3">
      <c r="A100" s="1363"/>
      <c r="B100" s="1328"/>
      <c r="C100" s="1315" t="s">
        <v>368</v>
      </c>
      <c r="D100" s="1335">
        <f>IF(E32=0,0,'03_VERD VLOEREN'!L20)</f>
        <v>0</v>
      </c>
      <c r="E100" s="1315" t="s">
        <v>889</v>
      </c>
      <c r="F100" s="1319"/>
      <c r="G100" s="1317"/>
      <c r="H100" s="1333">
        <f t="shared" si="0"/>
        <v>0</v>
      </c>
      <c r="I100" s="1319" t="s">
        <v>826</v>
      </c>
      <c r="J100" s="516"/>
      <c r="K100" s="466" t="s">
        <v>395</v>
      </c>
      <c r="L100" s="467">
        <v>1.2</v>
      </c>
      <c r="M100" s="436" t="s">
        <v>59</v>
      </c>
      <c r="N100" s="468">
        <f>N93</f>
        <v>0.2</v>
      </c>
      <c r="O100" s="436" t="s">
        <v>60</v>
      </c>
      <c r="P100" s="469">
        <f>L100*N100</f>
        <v>0.24</v>
      </c>
      <c r="Q100" s="433" t="s">
        <v>16</v>
      </c>
      <c r="R100" s="426"/>
      <c r="S100" s="465"/>
      <c r="AA100" s="426"/>
      <c r="AB100" s="681"/>
      <c r="AC100" s="426"/>
    </row>
    <row r="101" spans="1:29" ht="15" customHeight="1" x14ac:dyDescent="0.3">
      <c r="A101" s="1363"/>
      <c r="B101" s="1328"/>
      <c r="C101" s="1315" t="s">
        <v>111</v>
      </c>
      <c r="D101" s="1335">
        <f>IF(E32=0,0,'03_VERD VLOEREN'!M20)</f>
        <v>0</v>
      </c>
      <c r="E101" s="1315" t="s">
        <v>889</v>
      </c>
      <c r="F101" s="1319"/>
      <c r="G101" s="1317"/>
      <c r="H101" s="1333">
        <f t="shared" si="0"/>
        <v>0</v>
      </c>
      <c r="I101" s="1319" t="s">
        <v>826</v>
      </c>
      <c r="J101" s="516"/>
      <c r="K101" s="466" t="s">
        <v>396</v>
      </c>
      <c r="L101" s="467">
        <v>1.5</v>
      </c>
      <c r="M101" s="436" t="s">
        <v>59</v>
      </c>
      <c r="N101" s="468">
        <f>N96</f>
        <v>3</v>
      </c>
      <c r="O101" s="436" t="s">
        <v>60</v>
      </c>
      <c r="P101" s="468">
        <f>L101*N101</f>
        <v>4.5</v>
      </c>
      <c r="Q101" s="433" t="s">
        <v>61</v>
      </c>
      <c r="R101" s="470">
        <f>L101*N101*N97</f>
        <v>2.25</v>
      </c>
      <c r="S101" s="471" t="s">
        <v>397</v>
      </c>
      <c r="AA101" s="426"/>
      <c r="AB101" s="681"/>
      <c r="AC101" s="426"/>
    </row>
    <row r="102" spans="1:29" ht="15" customHeight="1" x14ac:dyDescent="0.2">
      <c r="A102" s="1363"/>
      <c r="B102" s="1328"/>
      <c r="C102" s="1315" t="s">
        <v>194</v>
      </c>
      <c r="D102" s="1335">
        <f>IF(E32=0,0,'03_VERD VLOEREN'!N20)</f>
        <v>0</v>
      </c>
      <c r="E102" s="1315" t="s">
        <v>889</v>
      </c>
      <c r="F102" s="1319"/>
      <c r="G102" s="1317"/>
      <c r="H102" s="1333">
        <f t="shared" si="0"/>
        <v>0</v>
      </c>
      <c r="I102" s="1319" t="s">
        <v>826</v>
      </c>
      <c r="K102" s="459" t="s">
        <v>628</v>
      </c>
      <c r="L102" s="433"/>
      <c r="M102" s="472"/>
      <c r="N102" s="473"/>
      <c r="O102" s="433"/>
      <c r="P102" s="460">
        <f>SUM(P100:P101)</f>
        <v>4.74</v>
      </c>
      <c r="Q102" s="461" t="s">
        <v>16</v>
      </c>
      <c r="R102" s="474">
        <f>P100+(P101*N97)</f>
        <v>2.4900000000000002</v>
      </c>
      <c r="S102" s="475" t="s">
        <v>525</v>
      </c>
      <c r="AA102" s="426"/>
      <c r="AB102" s="681"/>
      <c r="AC102" s="426"/>
    </row>
    <row r="103" spans="1:29" ht="15" customHeight="1" x14ac:dyDescent="0.2">
      <c r="A103" s="1363"/>
      <c r="B103" s="1328"/>
      <c r="C103" s="1315" t="s">
        <v>173</v>
      </c>
      <c r="D103" s="1335">
        <f>IF(E32=0,0,'03_VERD VLOEREN'!O20)</f>
        <v>0</v>
      </c>
      <c r="E103" s="1315" t="s">
        <v>889</v>
      </c>
      <c r="F103" s="1319"/>
      <c r="G103" s="1317"/>
      <c r="H103" s="1333">
        <f t="shared" si="0"/>
        <v>0</v>
      </c>
      <c r="I103" s="1319" t="s">
        <v>826</v>
      </c>
      <c r="K103" s="517" t="s">
        <v>629</v>
      </c>
      <c r="L103" s="457"/>
      <c r="M103" s="518"/>
      <c r="N103" s="519"/>
      <c r="O103" s="457"/>
      <c r="P103" s="520">
        <f>P102+1.2*N94</f>
        <v>8.6084800000000001</v>
      </c>
      <c r="Q103" s="521" t="s">
        <v>16</v>
      </c>
      <c r="R103" s="522">
        <f>R102+1.2*N94</f>
        <v>6.3584800000000001</v>
      </c>
      <c r="S103" s="523" t="s">
        <v>525</v>
      </c>
      <c r="AA103" s="426"/>
      <c r="AB103" s="681"/>
      <c r="AC103" s="426"/>
    </row>
    <row r="104" spans="1:29" ht="15" customHeight="1" x14ac:dyDescent="0.2">
      <c r="A104" s="1363"/>
      <c r="B104" s="1328"/>
      <c r="C104" s="1315"/>
      <c r="D104" s="1314"/>
      <c r="E104" s="1315"/>
      <c r="F104" s="1319"/>
      <c r="G104" s="1317"/>
      <c r="H104" s="1318"/>
      <c r="I104" s="1361"/>
      <c r="K104" s="432" t="s">
        <v>302</v>
      </c>
      <c r="L104" s="524">
        <f>E90/1000</f>
        <v>0.39</v>
      </c>
      <c r="M104" s="449" t="s">
        <v>17</v>
      </c>
      <c r="N104" s="426"/>
      <c r="O104" s="426"/>
      <c r="P104" s="426"/>
      <c r="Q104" s="426"/>
      <c r="R104" s="426"/>
      <c r="S104" s="428"/>
      <c r="AA104" s="426"/>
      <c r="AB104" s="681"/>
      <c r="AC104" s="426"/>
    </row>
    <row r="105" spans="1:29" ht="18" customHeight="1" x14ac:dyDescent="0.2">
      <c r="A105" s="513"/>
      <c r="B105" s="476" t="s">
        <v>1085</v>
      </c>
      <c r="C105" s="502"/>
      <c r="D105" s="503"/>
      <c r="E105" s="1279"/>
      <c r="F105" s="504"/>
      <c r="H105" s="413" t="s">
        <v>825</v>
      </c>
      <c r="I105" s="414"/>
      <c r="K105" s="432" t="s">
        <v>34</v>
      </c>
      <c r="L105" s="524">
        <f>VLOOKUP(D91,KEUZELIJSTEN!$A$15:$D$20,4,0)</f>
        <v>0</v>
      </c>
      <c r="M105" s="426" t="s">
        <v>17</v>
      </c>
      <c r="N105" s="426"/>
      <c r="O105" s="426"/>
      <c r="P105" s="426"/>
      <c r="Q105" s="426"/>
      <c r="R105" s="426"/>
      <c r="S105" s="428"/>
      <c r="AA105" s="426"/>
      <c r="AB105" s="681"/>
      <c r="AC105" s="426"/>
    </row>
    <row r="106" spans="1:29" ht="18" customHeight="1" x14ac:dyDescent="0.2">
      <c r="A106" s="513"/>
      <c r="B106" s="347"/>
      <c r="C106" s="525" t="s">
        <v>272</v>
      </c>
      <c r="D106" s="1293" t="s">
        <v>70</v>
      </c>
      <c r="E106" s="526" t="s">
        <v>524</v>
      </c>
      <c r="F106" s="527"/>
      <c r="H106" s="528"/>
      <c r="I106" s="351"/>
      <c r="K106" s="490" t="s">
        <v>496</v>
      </c>
      <c r="L106" s="491">
        <f>SUM(L104:L105)</f>
        <v>0.39</v>
      </c>
      <c r="M106" s="456" t="s">
        <v>17</v>
      </c>
      <c r="N106" s="455"/>
      <c r="O106" s="455"/>
      <c r="P106" s="455"/>
      <c r="Q106" s="455"/>
      <c r="R106" s="455"/>
      <c r="S106" s="492"/>
      <c r="AA106" s="426"/>
      <c r="AB106" s="681"/>
      <c r="AC106" s="426"/>
    </row>
    <row r="107" spans="1:29" ht="18" customHeight="1" x14ac:dyDescent="0.2">
      <c r="A107" s="513"/>
      <c r="B107" s="353"/>
      <c r="C107" s="430" t="s">
        <v>210</v>
      </c>
      <c r="D107" s="342">
        <f>IF($D$17="dragende wanden",0,IF(D106="y",$F$14,IF(D106="x",$F$13)))</f>
        <v>10</v>
      </c>
      <c r="E107" s="359" t="s">
        <v>17</v>
      </c>
      <c r="F107" s="435"/>
      <c r="H107" s="510"/>
      <c r="I107" s="366"/>
      <c r="AA107" s="426"/>
      <c r="AB107" s="681"/>
      <c r="AC107" s="426"/>
    </row>
    <row r="108" spans="1:29" ht="18" customHeight="1" x14ac:dyDescent="0.2">
      <c r="A108" s="513"/>
      <c r="B108" s="353"/>
      <c r="C108" s="362" t="s">
        <v>213</v>
      </c>
      <c r="D108" s="343">
        <f>IF($D$17="dragende wanden",0,$F$55)</f>
        <v>120</v>
      </c>
      <c r="E108" s="360"/>
      <c r="F108" s="435"/>
      <c r="H108" s="510"/>
      <c r="I108" s="366"/>
      <c r="K108" s="743" t="str">
        <f>CONCATENATE("Optietabel overspanningen vloeren en liggers ",K87)</f>
        <v>Optietabel overspanningen vloeren en liggers Verdiepingsvloer standaard</v>
      </c>
      <c r="L108" s="741"/>
      <c r="M108" s="741"/>
      <c r="N108" s="741"/>
      <c r="O108" s="741"/>
      <c r="P108" s="741"/>
      <c r="Q108" s="741"/>
      <c r="R108" s="741"/>
      <c r="S108" s="742"/>
      <c r="AA108" s="426"/>
      <c r="AB108" s="681"/>
      <c r="AC108" s="426"/>
    </row>
    <row r="109" spans="1:29" ht="18" customHeight="1" x14ac:dyDescent="0.2">
      <c r="A109" s="513"/>
      <c r="B109" s="353"/>
      <c r="C109" s="430" t="str">
        <f>IF(OR($D109="gewalst staal S235",$D109="gewalst staal S355",$D109="gewalst staal S460"),"materiaalkeuze en voorkeursprofiel","materiaalkeuze")</f>
        <v>materiaalkeuze en voorkeursprofiel</v>
      </c>
      <c r="D109" s="862" t="s">
        <v>217</v>
      </c>
      <c r="E109" s="1294" t="s">
        <v>909</v>
      </c>
      <c r="F109" s="866" t="str">
        <f>IF($D$17="dragende wanden","",'04_LIGGERS'!C55)</f>
        <v>320x8-190x25-470x15</v>
      </c>
      <c r="H109" s="510"/>
      <c r="I109" s="366"/>
      <c r="K109" s="1433"/>
      <c r="L109" s="1434" t="s">
        <v>574</v>
      </c>
      <c r="M109" s="1435" t="s">
        <v>575</v>
      </c>
      <c r="N109" s="1436" t="s">
        <v>576</v>
      </c>
      <c r="O109" s="1437" t="s">
        <v>579</v>
      </c>
      <c r="P109" s="1438"/>
      <c r="Q109" s="1438"/>
      <c r="R109" s="1438"/>
      <c r="S109" s="1439"/>
      <c r="AA109" s="426"/>
      <c r="AB109" s="681"/>
      <c r="AC109" s="426"/>
    </row>
    <row r="110" spans="1:29" ht="15" customHeight="1" x14ac:dyDescent="0.2">
      <c r="A110" s="1363"/>
      <c r="B110" s="1312"/>
      <c r="C110" s="1313" t="s">
        <v>88</v>
      </c>
      <c r="D110" s="1335">
        <f>IF($D$17="dragende wanden",0,IF(D109="prefab beton",'04_LIGGERS'!$D$55,0))</f>
        <v>0</v>
      </c>
      <c r="E110" s="1315" t="s">
        <v>889</v>
      </c>
      <c r="F110" s="1319"/>
      <c r="G110" s="1317"/>
      <c r="H110" s="1333">
        <f t="shared" ref="H110:H116" si="1">D110*$F$34*$E$32/$F$51</f>
        <v>0</v>
      </c>
      <c r="I110" s="1319" t="s">
        <v>826</v>
      </c>
      <c r="K110" s="1435" t="s">
        <v>570</v>
      </c>
      <c r="L110" s="1434" t="s">
        <v>70</v>
      </c>
      <c r="M110" s="1435" t="s">
        <v>70</v>
      </c>
      <c r="N110" s="1436" t="s">
        <v>65</v>
      </c>
      <c r="O110" s="1436" t="s">
        <v>40</v>
      </c>
      <c r="P110" s="1440" t="s">
        <v>582</v>
      </c>
      <c r="Q110" s="1440"/>
      <c r="R110" s="1440"/>
      <c r="S110" s="1441"/>
      <c r="AA110" s="426"/>
      <c r="AB110" s="681"/>
      <c r="AC110" s="426"/>
    </row>
    <row r="111" spans="1:29" ht="15" customHeight="1" x14ac:dyDescent="0.2">
      <c r="A111" s="1363"/>
      <c r="B111" s="1312"/>
      <c r="C111" s="1313" t="s">
        <v>617</v>
      </c>
      <c r="D111" s="1335">
        <f>IF($D$17="dragende wanden",0,IF(D109="ihwg beton",'04_LIGGERS'!$D$55,0))</f>
        <v>0</v>
      </c>
      <c r="E111" s="1315" t="s">
        <v>889</v>
      </c>
      <c r="F111" s="1319"/>
      <c r="G111" s="1317"/>
      <c r="H111" s="1333">
        <f t="shared" si="1"/>
        <v>0</v>
      </c>
      <c r="I111" s="1319" t="s">
        <v>826</v>
      </c>
      <c r="K111" s="1435" t="s">
        <v>571</v>
      </c>
      <c r="L111" s="1435" t="s">
        <v>70</v>
      </c>
      <c r="M111" s="1435" t="s">
        <v>65</v>
      </c>
      <c r="N111" s="1436" t="s">
        <v>70</v>
      </c>
      <c r="O111" s="1436" t="s">
        <v>578</v>
      </c>
      <c r="P111" s="1440" t="s">
        <v>583</v>
      </c>
      <c r="Q111" s="1440"/>
      <c r="R111" s="1440"/>
      <c r="S111" s="1441"/>
      <c r="AA111" s="426"/>
      <c r="AB111" s="681"/>
      <c r="AC111" s="426"/>
    </row>
    <row r="112" spans="1:29" ht="15" customHeight="1" x14ac:dyDescent="0.2">
      <c r="A112" s="1363"/>
      <c r="B112" s="1312"/>
      <c r="C112" s="1313" t="s">
        <v>91</v>
      </c>
      <c r="D112" s="1335">
        <f>IF($D$17="dragende wanden",0,IF(OR(D109="prefab beton",D109="ihwg beton"),'04_LIGGERS'!U61,0))</f>
        <v>0</v>
      </c>
      <c r="E112" s="1315" t="s">
        <v>889</v>
      </c>
      <c r="F112" s="1319"/>
      <c r="G112" s="1317"/>
      <c r="H112" s="1333">
        <f t="shared" si="1"/>
        <v>0</v>
      </c>
      <c r="I112" s="1319" t="s">
        <v>826</v>
      </c>
      <c r="K112" s="1435" t="s">
        <v>572</v>
      </c>
      <c r="L112" s="1442" t="s">
        <v>65</v>
      </c>
      <c r="M112" s="1442" t="s">
        <v>70</v>
      </c>
      <c r="N112" s="1436" t="s">
        <v>65</v>
      </c>
      <c r="O112" s="1443" t="s">
        <v>578</v>
      </c>
      <c r="P112" s="1444" t="s">
        <v>583</v>
      </c>
      <c r="Q112" s="1445"/>
      <c r="R112" s="1445"/>
      <c r="S112" s="1446"/>
      <c r="AA112" s="426"/>
      <c r="AB112" s="681"/>
      <c r="AC112" s="426"/>
    </row>
    <row r="113" spans="1:35" ht="15" customHeight="1" x14ac:dyDescent="0.2">
      <c r="A113" s="1363"/>
      <c r="B113" s="1312"/>
      <c r="C113" s="1313" t="s">
        <v>376</v>
      </c>
      <c r="D113" s="1335">
        <f>IF($D$17="dragende wanden",0,IF(D109="gelamineerd hout",'04_LIGGERS'!$D$55,0))</f>
        <v>0</v>
      </c>
      <c r="E113" s="1315" t="s">
        <v>889</v>
      </c>
      <c r="F113" s="1319"/>
      <c r="G113" s="1317"/>
      <c r="H113" s="1333">
        <f t="shared" si="1"/>
        <v>0</v>
      </c>
      <c r="I113" s="1319" t="s">
        <v>826</v>
      </c>
      <c r="K113" s="1435" t="s">
        <v>573</v>
      </c>
      <c r="L113" s="1447" t="s">
        <v>65</v>
      </c>
      <c r="M113" s="1435" t="s">
        <v>65</v>
      </c>
      <c r="N113" s="1436" t="s">
        <v>70</v>
      </c>
      <c r="O113" s="1443" t="s">
        <v>40</v>
      </c>
      <c r="P113" s="1440" t="s">
        <v>582</v>
      </c>
      <c r="Q113" s="1445"/>
      <c r="R113" s="1445"/>
      <c r="S113" s="1446"/>
      <c r="AA113" s="426"/>
      <c r="AB113" s="681"/>
      <c r="AC113" s="426"/>
    </row>
    <row r="114" spans="1:35" ht="15" customHeight="1" x14ac:dyDescent="0.2">
      <c r="A114" s="1363"/>
      <c r="B114" s="1312"/>
      <c r="C114" s="1315" t="s">
        <v>216</v>
      </c>
      <c r="D114" s="1335">
        <f>IF($D$17="dragende wanden",0,IF(D109="gewalst staal S235",'04_LIGGERS'!$D$55,0))</f>
        <v>0</v>
      </c>
      <c r="E114" s="1315" t="s">
        <v>889</v>
      </c>
      <c r="F114" s="1332"/>
      <c r="G114" s="1317"/>
      <c r="H114" s="1333">
        <f t="shared" si="1"/>
        <v>0</v>
      </c>
      <c r="I114" s="1319" t="s">
        <v>826</v>
      </c>
      <c r="K114" s="1436" t="s">
        <v>577</v>
      </c>
      <c r="L114" s="1448" t="str">
        <f>D88</f>
        <v>y</v>
      </c>
      <c r="M114" s="1448" t="str">
        <f>D106</f>
        <v>x</v>
      </c>
      <c r="N114" s="1440" t="s">
        <v>580</v>
      </c>
      <c r="O114" s="1449" t="str">
        <f>IF(L114=M114,"ja",IF(L114&lt;&gt;M114,"niet"))</f>
        <v>niet</v>
      </c>
      <c r="P114" s="1450" t="s">
        <v>581</v>
      </c>
      <c r="Q114" s="1440"/>
      <c r="R114" s="1440"/>
      <c r="S114" s="1441"/>
      <c r="AA114" s="426"/>
      <c r="AB114" s="681"/>
      <c r="AC114" s="426"/>
    </row>
    <row r="115" spans="1:35" ht="15" customHeight="1" x14ac:dyDescent="0.2">
      <c r="A115" s="1363"/>
      <c r="B115" s="1312"/>
      <c r="C115" s="1315" t="s">
        <v>217</v>
      </c>
      <c r="D115" s="1335">
        <f>IF($D$17="dragende wanden",0,IF(D109="gewalst staal S355",'04_LIGGERS'!$D$55,IF(D109="stalen vakwerk",'04_LIGGERS'!$D$55,0)))</f>
        <v>40.385067567567567</v>
      </c>
      <c r="E115" s="1315" t="s">
        <v>889</v>
      </c>
      <c r="F115" s="1332"/>
      <c r="G115" s="1317"/>
      <c r="H115" s="1333">
        <f t="shared" si="1"/>
        <v>29.378176456131726</v>
      </c>
      <c r="I115" s="1319" t="s">
        <v>826</v>
      </c>
      <c r="K115" s="442"/>
      <c r="L115" s="729"/>
      <c r="M115" s="442"/>
      <c r="N115" s="442"/>
      <c r="O115" s="442"/>
      <c r="P115" s="442"/>
      <c r="Q115" s="442"/>
      <c r="R115" s="442"/>
      <c r="S115" s="442"/>
      <c r="AA115" s="426"/>
      <c r="AB115" s="681"/>
      <c r="AC115" s="426"/>
    </row>
    <row r="116" spans="1:35" ht="15" customHeight="1" x14ac:dyDescent="0.2">
      <c r="A116" s="1363"/>
      <c r="B116" s="1312"/>
      <c r="C116" s="1315" t="s">
        <v>766</v>
      </c>
      <c r="D116" s="1335">
        <f>IF($D$17="dragende wanden",0,IF(D109="gewalst staal S460",'04_LIGGERS'!$D$55,0))</f>
        <v>0</v>
      </c>
      <c r="E116" s="1315" t="s">
        <v>889</v>
      </c>
      <c r="F116" s="1332"/>
      <c r="G116" s="1317"/>
      <c r="H116" s="1333">
        <f t="shared" si="1"/>
        <v>0</v>
      </c>
      <c r="I116" s="1319" t="s">
        <v>826</v>
      </c>
      <c r="K116" s="442"/>
      <c r="L116" s="729"/>
      <c r="M116" s="442"/>
      <c r="N116" s="442"/>
      <c r="O116" s="442"/>
      <c r="P116" s="442"/>
      <c r="Q116" s="442"/>
      <c r="R116" s="442"/>
      <c r="S116" s="442"/>
      <c r="AA116" s="426"/>
      <c r="AB116" s="681"/>
      <c r="AC116" s="426"/>
    </row>
    <row r="117" spans="1:35" ht="15" customHeight="1" x14ac:dyDescent="0.2">
      <c r="A117" s="1363"/>
      <c r="B117" s="1324"/>
      <c r="C117" s="1325"/>
      <c r="D117" s="1325"/>
      <c r="E117" s="1348"/>
      <c r="F117" s="1326"/>
      <c r="G117" s="1344"/>
      <c r="H117" s="1351"/>
      <c r="I117" s="1352"/>
      <c r="K117" s="442"/>
      <c r="L117" s="442"/>
      <c r="M117" s="442"/>
      <c r="N117" s="442"/>
      <c r="O117" s="442"/>
      <c r="P117" s="442"/>
      <c r="Q117" s="442"/>
      <c r="R117" s="442"/>
      <c r="S117" s="442"/>
      <c r="AA117" s="426"/>
      <c r="AB117" s="681"/>
      <c r="AC117" s="426"/>
    </row>
    <row r="118" spans="1:35" ht="18" customHeight="1" x14ac:dyDescent="0.2">
      <c r="A118" s="513"/>
      <c r="B118" s="731" t="s">
        <v>1086</v>
      </c>
      <c r="C118" s="732"/>
      <c r="D118" s="733"/>
      <c r="E118" s="1281"/>
      <c r="F118" s="734"/>
      <c r="H118" s="532" t="s">
        <v>825</v>
      </c>
      <c r="I118" s="533"/>
      <c r="K118" s="442"/>
      <c r="L118" s="442"/>
      <c r="M118" s="442"/>
      <c r="N118" s="442"/>
      <c r="O118" s="442"/>
      <c r="P118" s="442"/>
      <c r="Q118" s="442"/>
      <c r="R118" s="442"/>
      <c r="S118" s="442"/>
      <c r="AA118" s="426"/>
      <c r="AB118" s="681"/>
      <c r="AC118" s="426"/>
    </row>
    <row r="119" spans="1:35" ht="18" customHeight="1" x14ac:dyDescent="0.2">
      <c r="A119" s="513"/>
      <c r="B119" s="347"/>
      <c r="C119" s="1275" t="s">
        <v>271</v>
      </c>
      <c r="D119" s="1295" t="str">
        <f>IF($D$17="dragende wanden",0,IF(D106="x","y","x"))</f>
        <v>y</v>
      </c>
      <c r="E119" s="1296" t="s">
        <v>569</v>
      </c>
      <c r="F119" s="1297"/>
      <c r="H119" s="534"/>
      <c r="I119" s="366"/>
      <c r="K119" s="442"/>
      <c r="L119" s="442"/>
      <c r="M119" s="442"/>
      <c r="N119" s="442"/>
      <c r="O119" s="442"/>
      <c r="P119" s="442"/>
      <c r="Q119" s="442"/>
      <c r="R119" s="442"/>
      <c r="S119" s="442"/>
    </row>
    <row r="120" spans="1:35" ht="18" customHeight="1" x14ac:dyDescent="0.2">
      <c r="A120" s="513"/>
      <c r="B120" s="353"/>
      <c r="C120" s="493" t="s">
        <v>375</v>
      </c>
      <c r="D120" s="860">
        <f>IF($D$17="dragende wanden",0,IF(D119="x",$F$13,$F$14))</f>
        <v>3.7</v>
      </c>
      <c r="E120" s="360" t="s">
        <v>17</v>
      </c>
      <c r="F120" s="861"/>
      <c r="H120" s="534"/>
      <c r="I120" s="366"/>
      <c r="K120" s="442"/>
      <c r="L120" s="442"/>
      <c r="M120" s="442"/>
      <c r="N120" s="442"/>
      <c r="O120" s="442"/>
      <c r="P120" s="442"/>
      <c r="Q120" s="442"/>
      <c r="R120" s="442"/>
      <c r="S120" s="442"/>
    </row>
    <row r="121" spans="1:35" ht="18" customHeight="1" x14ac:dyDescent="0.2">
      <c r="A121" s="513"/>
      <c r="B121" s="353"/>
      <c r="C121" s="1373" t="s">
        <v>892</v>
      </c>
      <c r="D121" s="862" t="s">
        <v>25</v>
      </c>
      <c r="E121" s="360"/>
      <c r="F121" s="861"/>
      <c r="H121" s="534"/>
      <c r="I121" s="366"/>
      <c r="K121" s="730"/>
      <c r="L121" s="730"/>
      <c r="M121" s="730"/>
      <c r="N121" s="730"/>
      <c r="O121" s="730"/>
      <c r="P121" s="730"/>
      <c r="Q121" s="730"/>
      <c r="R121" s="730"/>
      <c r="S121" s="730"/>
    </row>
    <row r="122" spans="1:35" ht="18" customHeight="1" x14ac:dyDescent="0.2">
      <c r="A122" s="513"/>
      <c r="B122" s="353"/>
      <c r="C122" s="430" t="s">
        <v>567</v>
      </c>
      <c r="D122" s="1293">
        <v>1</v>
      </c>
      <c r="E122" s="360"/>
      <c r="F122" s="435"/>
      <c r="H122" s="534"/>
      <c r="I122" s="366"/>
      <c r="K122" s="730"/>
      <c r="L122" s="730"/>
      <c r="M122" s="730"/>
      <c r="N122" s="730"/>
      <c r="O122" s="730"/>
      <c r="P122" s="730"/>
      <c r="Q122" s="730"/>
      <c r="R122" s="730"/>
      <c r="S122" s="730"/>
    </row>
    <row r="123" spans="1:35" ht="18" customHeight="1" x14ac:dyDescent="0.2">
      <c r="A123" s="513"/>
      <c r="B123" s="353"/>
      <c r="C123" s="430" t="str">
        <f>IF(OR($D123="gewalst staal S235",$D123="gewalst staal S355",$D123="gewalst staal S460"),"materiaalkeuze en voorkeursprofiel","materiaalkeuze")</f>
        <v>materiaalkeuze en voorkeursprofiel</v>
      </c>
      <c r="D123" s="862" t="s">
        <v>216</v>
      </c>
      <c r="E123" s="1294" t="s">
        <v>909</v>
      </c>
      <c r="F123" s="866" t="str">
        <f>IF($D$17="dragende wanden","",'04_LIGGERS'!C56)</f>
        <v>150x5-190x15-400x12</v>
      </c>
      <c r="H123" s="534"/>
      <c r="I123" s="366"/>
      <c r="K123" s="730"/>
      <c r="L123" s="730"/>
      <c r="M123" s="730"/>
      <c r="N123" s="730"/>
      <c r="O123" s="730"/>
      <c r="P123" s="730"/>
      <c r="Q123" s="730"/>
      <c r="R123" s="730"/>
      <c r="S123" s="730"/>
    </row>
    <row r="124" spans="1:35" ht="15" customHeight="1" x14ac:dyDescent="0.2">
      <c r="A124" s="1363"/>
      <c r="B124" s="1312"/>
      <c r="C124" s="1313" t="s">
        <v>88</v>
      </c>
      <c r="D124" s="1335">
        <f>IF($D$17="dragende wanden",0,IF(D123="prefab beton",'04_LIGGERS'!$D$56,0))</f>
        <v>0</v>
      </c>
      <c r="E124" s="1315" t="s">
        <v>889</v>
      </c>
      <c r="F124" s="1319"/>
      <c r="G124" s="1317"/>
      <c r="H124" s="1333">
        <f t="shared" ref="H124:H130" si="2">D124*$F$34*$E$32/$F$51</f>
        <v>0</v>
      </c>
      <c r="I124" s="1319" t="s">
        <v>826</v>
      </c>
      <c r="K124" s="730"/>
      <c r="L124" s="730"/>
      <c r="M124" s="730"/>
      <c r="N124" s="730"/>
      <c r="O124" s="730"/>
      <c r="P124" s="730"/>
      <c r="Q124" s="730"/>
      <c r="R124" s="730"/>
      <c r="S124" s="730"/>
    </row>
    <row r="125" spans="1:35" ht="15" customHeight="1" x14ac:dyDescent="0.2">
      <c r="A125" s="1363"/>
      <c r="B125" s="1312"/>
      <c r="C125" s="1313" t="s">
        <v>617</v>
      </c>
      <c r="D125" s="1335">
        <f>IF($D$17="dragende wanden",0,IF(D123="ihwg beton",'04_LIGGERS'!$D$56,0))</f>
        <v>0</v>
      </c>
      <c r="E125" s="1315" t="s">
        <v>889</v>
      </c>
      <c r="F125" s="1319"/>
      <c r="G125" s="1317"/>
      <c r="H125" s="1333">
        <f t="shared" si="2"/>
        <v>0</v>
      </c>
      <c r="I125" s="1319" t="s">
        <v>826</v>
      </c>
      <c r="K125" s="442"/>
      <c r="L125" s="442"/>
      <c r="M125" s="442"/>
      <c r="N125" s="442"/>
      <c r="O125" s="442"/>
      <c r="P125" s="442"/>
      <c r="Q125" s="442"/>
      <c r="R125" s="442"/>
      <c r="S125" s="442"/>
    </row>
    <row r="126" spans="1:35" ht="15" customHeight="1" x14ac:dyDescent="0.2">
      <c r="A126" s="1363"/>
      <c r="B126" s="1312"/>
      <c r="C126" s="1313" t="s">
        <v>91</v>
      </c>
      <c r="D126" s="1335">
        <f>IF($D$17="dragende wanden",0,IF(AND(OR(D123="prefab beton",D123="ihwg beton"),D121="ja"),'04_LIGGERS'!U69,0))</f>
        <v>0</v>
      </c>
      <c r="E126" s="1315" t="s">
        <v>889</v>
      </c>
      <c r="F126" s="1319"/>
      <c r="G126" s="1332"/>
      <c r="H126" s="1342">
        <f t="shared" si="2"/>
        <v>0</v>
      </c>
      <c r="I126" s="1319" t="s">
        <v>826</v>
      </c>
      <c r="K126" s="442"/>
      <c r="L126" s="442"/>
      <c r="M126" s="442"/>
      <c r="N126" s="442"/>
      <c r="O126" s="442"/>
      <c r="P126" s="442"/>
      <c r="Q126" s="442"/>
      <c r="R126" s="442"/>
      <c r="S126" s="442"/>
    </row>
    <row r="127" spans="1:35" ht="15" customHeight="1" x14ac:dyDescent="0.2">
      <c r="A127" s="1363"/>
      <c r="B127" s="1312"/>
      <c r="C127" s="1313" t="s">
        <v>376</v>
      </c>
      <c r="D127" s="1335">
        <f>IF($D$17="dragende wanden",0,IF(D123="gelamineerd hout",'04_LIGGERS'!$D$56,0))</f>
        <v>0</v>
      </c>
      <c r="E127" s="1315" t="s">
        <v>889</v>
      </c>
      <c r="F127" s="1319"/>
      <c r="G127" s="1332"/>
      <c r="H127" s="1342">
        <f t="shared" si="2"/>
        <v>0</v>
      </c>
      <c r="I127" s="1319" t="s">
        <v>826</v>
      </c>
    </row>
    <row r="128" spans="1:35" ht="15" customHeight="1" x14ac:dyDescent="0.2">
      <c r="A128" s="1363"/>
      <c r="B128" s="1312"/>
      <c r="C128" s="1315" t="s">
        <v>216</v>
      </c>
      <c r="D128" s="1335">
        <f>IF($D$17="dragende wanden",0,IF(D123="gewalst staal S235",'04_LIGGERS'!$D$56,0))</f>
        <v>0</v>
      </c>
      <c r="E128" s="1315" t="s">
        <v>889</v>
      </c>
      <c r="F128" s="1332"/>
      <c r="G128" s="1332"/>
      <c r="H128" s="1342">
        <f t="shared" si="2"/>
        <v>0</v>
      </c>
      <c r="I128" s="1319" t="s">
        <v>826</v>
      </c>
      <c r="AI128" s="550"/>
    </row>
    <row r="129" spans="1:35" ht="15" customHeight="1" x14ac:dyDescent="0.2">
      <c r="A129" s="1364"/>
      <c r="B129" s="1312"/>
      <c r="C129" s="1315" t="s">
        <v>217</v>
      </c>
      <c r="D129" s="1335">
        <f>IF($D$17="dragende wanden",0,IF(D123="gewalst staal S355",'04_LIGGERS'!$D$56,IF(D123="stalen vakwerk",'04_LIGGERS'!$D$56,0)))</f>
        <v>0</v>
      </c>
      <c r="E129" s="1315" t="s">
        <v>889</v>
      </c>
      <c r="F129" s="1332"/>
      <c r="G129" s="1344"/>
      <c r="H129" s="1333">
        <f t="shared" si="2"/>
        <v>0</v>
      </c>
      <c r="I129" s="1319" t="s">
        <v>826</v>
      </c>
      <c r="AI129" s="550"/>
    </row>
    <row r="130" spans="1:35" ht="15" customHeight="1" x14ac:dyDescent="0.2">
      <c r="A130" s="1365"/>
      <c r="B130" s="1324"/>
      <c r="C130" s="1325" t="s">
        <v>766</v>
      </c>
      <c r="D130" s="1335">
        <f>IF($D$17="dragende wanden",0,IF(D123="gewalst staal S460",'04_LIGGERS'!$D$56,0))</f>
        <v>0</v>
      </c>
      <c r="E130" s="1325" t="s">
        <v>889</v>
      </c>
      <c r="F130" s="1357"/>
      <c r="G130" s="1317"/>
      <c r="H130" s="1338">
        <f t="shared" si="2"/>
        <v>0</v>
      </c>
      <c r="I130" s="1326" t="s">
        <v>826</v>
      </c>
    </row>
    <row r="131" spans="1:35" ht="18" customHeight="1" thickBot="1" x14ac:dyDescent="0.25">
      <c r="B131" s="496"/>
      <c r="C131" s="536"/>
      <c r="D131" s="857"/>
      <c r="E131" s="497"/>
      <c r="F131" s="497"/>
      <c r="H131" s="537"/>
      <c r="I131" s="500"/>
      <c r="J131" s="359"/>
    </row>
    <row r="132" spans="1:35" ht="18" customHeight="1" thickBot="1" x14ac:dyDescent="0.25">
      <c r="A132" s="538"/>
      <c r="B132" s="539" t="s">
        <v>305</v>
      </c>
      <c r="C132" s="539"/>
      <c r="D132" s="540"/>
      <c r="E132" s="1279"/>
      <c r="F132" s="541"/>
      <c r="H132" s="413" t="s">
        <v>825</v>
      </c>
      <c r="I132" s="414"/>
      <c r="K132" s="415" t="s">
        <v>527</v>
      </c>
      <c r="L132" s="416"/>
      <c r="M132" s="416"/>
      <c r="N132" s="416"/>
      <c r="O132" s="416"/>
      <c r="P132" s="416"/>
      <c r="Q132" s="416"/>
      <c r="R132" s="416"/>
      <c r="S132" s="417"/>
    </row>
    <row r="133" spans="1:35" ht="18" customHeight="1" x14ac:dyDescent="0.2">
      <c r="A133" s="542"/>
      <c r="B133" s="543"/>
      <c r="C133" s="544" t="s">
        <v>211</v>
      </c>
      <c r="D133" s="3" t="s">
        <v>65</v>
      </c>
      <c r="E133" s="508" t="s">
        <v>524</v>
      </c>
      <c r="F133" s="1299"/>
      <c r="H133" s="534"/>
      <c r="I133" s="366"/>
      <c r="K133" s="511" t="s">
        <v>587</v>
      </c>
      <c r="L133" s="426"/>
      <c r="M133" s="426"/>
      <c r="N133" s="426"/>
      <c r="O133" s="512"/>
      <c r="P133" s="427"/>
      <c r="Q133" s="426"/>
      <c r="R133" s="426"/>
      <c r="S133" s="428"/>
    </row>
    <row r="134" spans="1:35" ht="18" customHeight="1" x14ac:dyDescent="0.2">
      <c r="A134" s="542"/>
      <c r="B134" s="367"/>
      <c r="C134" s="430" t="s">
        <v>83</v>
      </c>
      <c r="D134" s="860">
        <f>IF(D17="dragende wanden",VLOOKUP(E18,D13:F14,3,0),IF(O159="niet",D165,IF(O159="ja",D152/D167)))</f>
        <v>3.7</v>
      </c>
      <c r="E134" s="359" t="s">
        <v>17</v>
      </c>
      <c r="F134" s="1849" t="s">
        <v>1247</v>
      </c>
      <c r="H134" s="534"/>
      <c r="I134" s="366"/>
      <c r="K134" s="514" t="s">
        <v>492</v>
      </c>
      <c r="L134" s="426"/>
      <c r="M134" s="426"/>
      <c r="N134" s="426"/>
      <c r="O134" s="426"/>
      <c r="P134" s="433"/>
      <c r="Q134" s="426"/>
      <c r="R134" s="426"/>
      <c r="S134" s="428"/>
    </row>
    <row r="135" spans="1:35" ht="18" customHeight="1" x14ac:dyDescent="0.2">
      <c r="A135" s="542"/>
      <c r="B135" s="367"/>
      <c r="C135" s="430" t="s">
        <v>281</v>
      </c>
      <c r="D135" s="4" t="s">
        <v>437</v>
      </c>
      <c r="E135" s="1282">
        <f>IF(E39=0,0,IF(D135=0,0,'03_VERD VLOEREN'!D45))</f>
        <v>390</v>
      </c>
      <c r="F135" s="1850" t="s">
        <v>1248</v>
      </c>
      <c r="G135" s="488"/>
      <c r="H135" s="545"/>
      <c r="I135" s="366"/>
      <c r="K135" s="700" t="s">
        <v>31</v>
      </c>
      <c r="L135" s="701" t="str">
        <f>D136</f>
        <v>geen</v>
      </c>
      <c r="M135" s="436"/>
      <c r="N135" s="687">
        <f>VLOOKUP(L135,KEUZELIJSTEN!$A$15:$D$20,2,0)</f>
        <v>0</v>
      </c>
      <c r="O135" s="433" t="s">
        <v>382</v>
      </c>
      <c r="P135" s="426"/>
      <c r="Q135" s="426"/>
      <c r="R135" s="426"/>
      <c r="S135" s="428"/>
    </row>
    <row r="136" spans="1:35" ht="18" customHeight="1" x14ac:dyDescent="0.2">
      <c r="A136" s="542"/>
      <c r="C136" s="368" t="s">
        <v>34</v>
      </c>
      <c r="D136" s="2" t="s">
        <v>46</v>
      </c>
      <c r="G136" s="488"/>
      <c r="I136" s="366"/>
      <c r="K136" s="700" t="s">
        <v>32</v>
      </c>
      <c r="L136" s="701" t="str">
        <f>D137</f>
        <v>licht 0,2 kN/m2</v>
      </c>
      <c r="M136" s="436"/>
      <c r="N136" s="687">
        <f>VLOOKUP(L136,KEUZELIJSTEN!$A$23:$D$25,2,0)</f>
        <v>0.2</v>
      </c>
      <c r="O136" s="433" t="s">
        <v>382</v>
      </c>
      <c r="P136" s="426"/>
      <c r="Q136" s="426"/>
      <c r="R136" s="426"/>
      <c r="S136" s="428"/>
    </row>
    <row r="137" spans="1:35" ht="18" customHeight="1" x14ac:dyDescent="0.2">
      <c r="A137" s="542"/>
      <c r="C137" s="368" t="s">
        <v>893</v>
      </c>
      <c r="D137" s="2" t="s">
        <v>609</v>
      </c>
      <c r="G137" s="488"/>
      <c r="I137" s="366"/>
      <c r="K137" s="700" t="s">
        <v>33</v>
      </c>
      <c r="L137" s="701" t="str">
        <f>D138</f>
        <v>licht 0,5 kN/m2</v>
      </c>
      <c r="M137" s="436"/>
      <c r="N137" s="687">
        <f>VLOOKUP(L137,KEUZELIJSTEN!$A$28:$D$31,2,0)</f>
        <v>0.5</v>
      </c>
      <c r="O137" s="433" t="s">
        <v>382</v>
      </c>
      <c r="P137" s="858" t="s">
        <v>623</v>
      </c>
      <c r="Q137" s="426"/>
      <c r="R137" s="426"/>
      <c r="S137" s="428"/>
    </row>
    <row r="138" spans="1:35" ht="18" customHeight="1" x14ac:dyDescent="0.2">
      <c r="A138" s="542"/>
      <c r="C138" s="362" t="s">
        <v>894</v>
      </c>
      <c r="D138" s="2" t="s">
        <v>532</v>
      </c>
      <c r="G138" s="488"/>
      <c r="I138" s="366"/>
      <c r="K138" s="702" t="s">
        <v>491</v>
      </c>
      <c r="L138" s="433"/>
      <c r="M138" s="433"/>
      <c r="N138" s="703">
        <f>SUM(N135:N136)</f>
        <v>0.2</v>
      </c>
      <c r="O138" s="461" t="s">
        <v>387</v>
      </c>
      <c r="P138" s="438"/>
      <c r="Q138" s="438"/>
      <c r="R138" s="426"/>
      <c r="S138" s="428"/>
    </row>
    <row r="139" spans="1:35" ht="15" customHeight="1" x14ac:dyDescent="0.2">
      <c r="A139" s="1355"/>
      <c r="B139" s="1340"/>
      <c r="C139" s="1313" t="s">
        <v>617</v>
      </c>
      <c r="D139" s="1335">
        <f>IF(E39=0,0,'03_VERD VLOEREN'!E45)</f>
        <v>116.41</v>
      </c>
      <c r="E139" s="1315" t="s">
        <v>889</v>
      </c>
      <c r="F139" s="1315"/>
      <c r="G139" s="1362"/>
      <c r="H139" s="1342">
        <f t="shared" ref="H139:H148" si="3">D139*$F$41*$E$39/$F$51</f>
        <v>23.25911280412878</v>
      </c>
      <c r="I139" s="1319" t="s">
        <v>826</v>
      </c>
      <c r="K139" s="704" t="s">
        <v>231</v>
      </c>
      <c r="L139" s="469"/>
      <c r="M139" s="469"/>
      <c r="N139" s="703">
        <f>'03_VERD VLOEREN'!R45/100</f>
        <v>3.2237333333333336</v>
      </c>
      <c r="O139" s="467" t="s">
        <v>381</v>
      </c>
      <c r="P139" s="438"/>
      <c r="Q139" s="438"/>
      <c r="R139" s="433"/>
      <c r="S139" s="443"/>
    </row>
    <row r="140" spans="1:35" ht="15" customHeight="1" x14ac:dyDescent="0.2">
      <c r="A140" s="1355"/>
      <c r="B140" s="1340"/>
      <c r="C140" s="1313" t="s">
        <v>88</v>
      </c>
      <c r="D140" s="1335">
        <f>IF(E39=0,0,'03_VERD VLOEREN'!F45)</f>
        <v>168.00000000000003</v>
      </c>
      <c r="E140" s="1315" t="s">
        <v>889</v>
      </c>
      <c r="F140" s="1319"/>
      <c r="G140" s="1317"/>
      <c r="H140" s="1333">
        <f t="shared" si="3"/>
        <v>33.566969771442622</v>
      </c>
      <c r="I140" s="1319" t="s">
        <v>826</v>
      </c>
      <c r="J140" s="359"/>
      <c r="K140" s="459" t="s">
        <v>493</v>
      </c>
      <c r="L140" s="433"/>
      <c r="M140" s="433"/>
      <c r="N140" s="703">
        <f>N138+N139</f>
        <v>3.4237333333333337</v>
      </c>
      <c r="O140" s="461" t="s">
        <v>387</v>
      </c>
      <c r="P140" s="438"/>
      <c r="Q140" s="438"/>
      <c r="R140" s="433"/>
      <c r="S140" s="443"/>
    </row>
    <row r="141" spans="1:35" ht="15" customHeight="1" x14ac:dyDescent="0.2">
      <c r="A141" s="1355"/>
      <c r="B141" s="1340"/>
      <c r="C141" s="1313" t="s">
        <v>91</v>
      </c>
      <c r="D141" s="1335">
        <f>IF(E39=0,0,'03_VERD VLOEREN'!G45)</f>
        <v>1.97</v>
      </c>
      <c r="E141" s="1315" t="s">
        <v>889</v>
      </c>
      <c r="F141" s="1319"/>
      <c r="G141" s="1317"/>
      <c r="H141" s="1333">
        <f t="shared" si="3"/>
        <v>0.39361268124846405</v>
      </c>
      <c r="I141" s="1319" t="s">
        <v>826</v>
      </c>
      <c r="J141" s="359"/>
      <c r="K141" s="705" t="s">
        <v>625</v>
      </c>
      <c r="L141" s="450"/>
      <c r="M141" s="450"/>
      <c r="N141" s="706">
        <f>VLOOKUP($F$39,KEUZELIJSTEN!$A$3:$B$11,2,0)+N137</f>
        <v>3.5</v>
      </c>
      <c r="O141" s="710" t="s">
        <v>387</v>
      </c>
      <c r="P141" s="451"/>
      <c r="Q141" s="451"/>
      <c r="R141" s="450"/>
      <c r="S141" s="452"/>
    </row>
    <row r="142" spans="1:35" ht="15" customHeight="1" x14ac:dyDescent="0.2">
      <c r="A142" s="1355"/>
      <c r="B142" s="1340"/>
      <c r="C142" s="1315" t="s">
        <v>202</v>
      </c>
      <c r="D142" s="1335">
        <f>IF(E39=0,0,'03_VERD VLOEREN'!H45)</f>
        <v>0</v>
      </c>
      <c r="E142" s="1315" t="s">
        <v>889</v>
      </c>
      <c r="F142" s="1332"/>
      <c r="G142" s="1317"/>
      <c r="H142" s="1333">
        <f t="shared" si="3"/>
        <v>0</v>
      </c>
      <c r="I142" s="1319" t="s">
        <v>826</v>
      </c>
      <c r="J142" s="359"/>
      <c r="K142" s="707"/>
      <c r="L142" s="457"/>
      <c r="M142" s="708" t="s">
        <v>37</v>
      </c>
      <c r="N142" s="709">
        <f>VLOOKUP($F$39,KEUZELIJSTEN!$A$3:$E$11,5,0)</f>
        <v>0.5</v>
      </c>
      <c r="O142" s="457"/>
      <c r="P142" s="456"/>
      <c r="Q142" s="456"/>
      <c r="R142" s="457"/>
      <c r="S142" s="458"/>
    </row>
    <row r="143" spans="1:35" ht="15" customHeight="1" x14ac:dyDescent="0.2">
      <c r="A143" s="1355"/>
      <c r="B143" s="1340"/>
      <c r="C143" s="1315" t="s">
        <v>216</v>
      </c>
      <c r="D143" s="1335">
        <f>IF(E39=0,0,'03_VERD VLOEREN'!I45)</f>
        <v>30.083333333333332</v>
      </c>
      <c r="E143" s="1315" t="s">
        <v>889</v>
      </c>
      <c r="F143" s="1319"/>
      <c r="G143" s="1317"/>
      <c r="H143" s="1333">
        <f t="shared" si="3"/>
        <v>6.0107520275251902</v>
      </c>
      <c r="I143" s="1319" t="s">
        <v>826</v>
      </c>
      <c r="J143" s="359"/>
      <c r="K143" s="459" t="s">
        <v>626</v>
      </c>
      <c r="L143" s="433"/>
      <c r="M143" s="433"/>
      <c r="N143" s="629"/>
      <c r="O143" s="629"/>
      <c r="P143" s="460">
        <f>N138+N141</f>
        <v>3.7</v>
      </c>
      <c r="Q143" s="461" t="s">
        <v>16</v>
      </c>
      <c r="R143" s="462"/>
      <c r="S143" s="463"/>
    </row>
    <row r="144" spans="1:35" ht="15" customHeight="1" x14ac:dyDescent="0.2">
      <c r="A144" s="1355"/>
      <c r="B144" s="1340"/>
      <c r="C144" s="1315" t="s">
        <v>292</v>
      </c>
      <c r="D144" s="1335">
        <f>IF(E39=0,0,'03_VERD VLOEREN'!P45)</f>
        <v>5.91</v>
      </c>
      <c r="E144" s="1315" t="s">
        <v>890</v>
      </c>
      <c r="F144" s="1319"/>
      <c r="G144" s="1317"/>
      <c r="H144" s="1333">
        <f t="shared" si="3"/>
        <v>1.180838043745392</v>
      </c>
      <c r="I144" s="1319" t="s">
        <v>826</v>
      </c>
      <c r="J144" s="546"/>
      <c r="K144" s="459" t="s">
        <v>627</v>
      </c>
      <c r="L144" s="426"/>
      <c r="M144" s="426"/>
      <c r="P144" s="441">
        <f>N140+N141</f>
        <v>6.9237333333333337</v>
      </c>
      <c r="Q144" s="438" t="s">
        <v>387</v>
      </c>
      <c r="R144" s="426"/>
      <c r="S144" s="465"/>
    </row>
    <row r="145" spans="1:23" ht="15" customHeight="1" x14ac:dyDescent="0.3">
      <c r="A145" s="1355"/>
      <c r="B145" s="1340"/>
      <c r="C145" s="1315" t="s">
        <v>1071</v>
      </c>
      <c r="D145" s="1335">
        <f>IF(E39=0,0,'03_VERD VLOEREN'!L45)</f>
        <v>0</v>
      </c>
      <c r="E145" s="1315" t="s">
        <v>889</v>
      </c>
      <c r="F145" s="1319"/>
      <c r="G145" s="1317"/>
      <c r="H145" s="1333">
        <f t="shared" si="3"/>
        <v>0</v>
      </c>
      <c r="I145" s="1319" t="s">
        <v>826</v>
      </c>
      <c r="J145" s="546"/>
      <c r="K145" s="466" t="s">
        <v>395</v>
      </c>
      <c r="L145" s="467">
        <v>1.2</v>
      </c>
      <c r="M145" s="436" t="s">
        <v>59</v>
      </c>
      <c r="N145" s="468">
        <f>N138</f>
        <v>0.2</v>
      </c>
      <c r="O145" s="436" t="s">
        <v>60</v>
      </c>
      <c r="P145" s="469">
        <f>L145*N145</f>
        <v>0.24</v>
      </c>
      <c r="Q145" s="433" t="s">
        <v>16</v>
      </c>
      <c r="R145" s="426"/>
      <c r="S145" s="465"/>
    </row>
    <row r="146" spans="1:23" ht="15" customHeight="1" x14ac:dyDescent="0.3">
      <c r="A146" s="1355"/>
      <c r="B146" s="1340"/>
      <c r="C146" s="1315" t="s">
        <v>111</v>
      </c>
      <c r="D146" s="1335">
        <f>IF(E39=0,0,'03_VERD VLOEREN'!M33)</f>
        <v>0</v>
      </c>
      <c r="E146" s="1315" t="s">
        <v>889</v>
      </c>
      <c r="F146" s="1319"/>
      <c r="G146" s="1317"/>
      <c r="H146" s="1333">
        <f t="shared" si="3"/>
        <v>0</v>
      </c>
      <c r="I146" s="1319" t="s">
        <v>826</v>
      </c>
      <c r="K146" s="466" t="s">
        <v>396</v>
      </c>
      <c r="L146" s="467">
        <v>1.5</v>
      </c>
      <c r="M146" s="436" t="s">
        <v>59</v>
      </c>
      <c r="N146" s="468">
        <f>N141</f>
        <v>3.5</v>
      </c>
      <c r="O146" s="436" t="s">
        <v>60</v>
      </c>
      <c r="P146" s="468">
        <f>L146*N146</f>
        <v>5.25</v>
      </c>
      <c r="Q146" s="433" t="s">
        <v>61</v>
      </c>
      <c r="R146" s="470">
        <f>L146*N146*N142</f>
        <v>2.625</v>
      </c>
      <c r="S146" s="471" t="s">
        <v>397</v>
      </c>
    </row>
    <row r="147" spans="1:23" ht="15" customHeight="1" x14ac:dyDescent="0.2">
      <c r="A147" s="1355"/>
      <c r="B147" s="1340"/>
      <c r="C147" s="1315" t="s">
        <v>194</v>
      </c>
      <c r="D147" s="1335">
        <f>IF(E39=0,0,'03_VERD VLOEREN'!N45)</f>
        <v>0</v>
      </c>
      <c r="E147" s="1315" t="s">
        <v>889</v>
      </c>
      <c r="F147" s="1319"/>
      <c r="G147" s="1317"/>
      <c r="H147" s="1333">
        <f t="shared" si="3"/>
        <v>0</v>
      </c>
      <c r="I147" s="1319" t="s">
        <v>826</v>
      </c>
      <c r="K147" s="459" t="s">
        <v>628</v>
      </c>
      <c r="L147" s="433"/>
      <c r="M147" s="472"/>
      <c r="N147" s="473"/>
      <c r="O147" s="433"/>
      <c r="P147" s="460">
        <f>SUM(P145:P146)</f>
        <v>5.49</v>
      </c>
      <c r="Q147" s="461" t="s">
        <v>16</v>
      </c>
      <c r="R147" s="474">
        <f>P145+(P146*N142)</f>
        <v>2.8650000000000002</v>
      </c>
      <c r="S147" s="475" t="s">
        <v>525</v>
      </c>
    </row>
    <row r="148" spans="1:23" ht="15" customHeight="1" x14ac:dyDescent="0.2">
      <c r="A148" s="1355"/>
      <c r="B148" s="1312"/>
      <c r="C148" s="1315" t="s">
        <v>173</v>
      </c>
      <c r="D148" s="1335">
        <f>IF(E39=0,0,'03_VERD VLOEREN'!O45)</f>
        <v>0</v>
      </c>
      <c r="E148" s="1315" t="s">
        <v>889</v>
      </c>
      <c r="F148" s="1319"/>
      <c r="G148" s="1317"/>
      <c r="H148" s="1333">
        <f t="shared" si="3"/>
        <v>0</v>
      </c>
      <c r="I148" s="1319" t="s">
        <v>826</v>
      </c>
      <c r="K148" s="517" t="s">
        <v>629</v>
      </c>
      <c r="L148" s="457"/>
      <c r="M148" s="518"/>
      <c r="N148" s="519"/>
      <c r="O148" s="457"/>
      <c r="P148" s="520">
        <f>P147+1.2*N139</f>
        <v>9.3584800000000001</v>
      </c>
      <c r="Q148" s="521" t="s">
        <v>16</v>
      </c>
      <c r="R148" s="522">
        <f>R147+1.2*N139</f>
        <v>6.7334800000000001</v>
      </c>
      <c r="S148" s="523" t="s">
        <v>525</v>
      </c>
    </row>
    <row r="149" spans="1:23" ht="15" customHeight="1" x14ac:dyDescent="0.2">
      <c r="A149" s="1355"/>
      <c r="B149" s="1346"/>
      <c r="C149" s="1325"/>
      <c r="D149" s="1347"/>
      <c r="E149" s="1325"/>
      <c r="F149" s="1326"/>
      <c r="G149" s="1317"/>
      <c r="H149" s="1360"/>
      <c r="I149" s="1361"/>
      <c r="K149" s="432" t="s">
        <v>302</v>
      </c>
      <c r="L149" s="524">
        <f>E135/1000</f>
        <v>0.39</v>
      </c>
      <c r="M149" s="449" t="s">
        <v>17</v>
      </c>
      <c r="N149" s="426"/>
      <c r="O149" s="426"/>
      <c r="P149" s="426"/>
      <c r="Q149" s="426"/>
      <c r="R149" s="426"/>
      <c r="S149" s="428"/>
    </row>
    <row r="150" spans="1:23" ht="18" customHeight="1" x14ac:dyDescent="0.2">
      <c r="A150" s="542"/>
      <c r="B150" s="476" t="s">
        <v>469</v>
      </c>
      <c r="C150" s="502"/>
      <c r="D150" s="540"/>
      <c r="E150" s="1279"/>
      <c r="F150" s="504"/>
      <c r="H150" s="413" t="s">
        <v>825</v>
      </c>
      <c r="I150" s="414"/>
      <c r="K150" s="514" t="s">
        <v>34</v>
      </c>
      <c r="L150" s="524">
        <f>VLOOKUP(D136,KEUZELIJSTEN!$A$15:$D$20,4,0)</f>
        <v>0</v>
      </c>
      <c r="M150" s="426" t="s">
        <v>17</v>
      </c>
      <c r="N150" s="426"/>
      <c r="O150" s="426"/>
      <c r="P150" s="426"/>
      <c r="Q150" s="426"/>
      <c r="R150" s="426"/>
      <c r="S150" s="428"/>
    </row>
    <row r="151" spans="1:23" ht="18" customHeight="1" x14ac:dyDescent="0.2">
      <c r="A151" s="542"/>
      <c r="B151" s="347"/>
      <c r="C151" s="525" t="s">
        <v>272</v>
      </c>
      <c r="D151" s="1293" t="s">
        <v>70</v>
      </c>
      <c r="E151" s="526" t="s">
        <v>524</v>
      </c>
      <c r="F151" s="527"/>
      <c r="H151" s="534"/>
      <c r="I151" s="366"/>
      <c r="K151" s="490" t="s">
        <v>496</v>
      </c>
      <c r="L151" s="491">
        <f>SUM(L149:L150)</f>
        <v>0.39</v>
      </c>
      <c r="M151" s="456" t="s">
        <v>17</v>
      </c>
      <c r="N151" s="455"/>
      <c r="O151" s="455"/>
      <c r="P151" s="455"/>
      <c r="Q151" s="455"/>
      <c r="R151" s="455"/>
      <c r="S151" s="492"/>
    </row>
    <row r="152" spans="1:23" ht="18" customHeight="1" x14ac:dyDescent="0.2">
      <c r="A152" s="542"/>
      <c r="B152" s="353"/>
      <c r="C152" s="430" t="s">
        <v>210</v>
      </c>
      <c r="D152" s="863">
        <f>IF($D$17="dragende wanden",0,IF(D151="y",$F$14,IF(D151="x",$F$13)))</f>
        <v>10</v>
      </c>
      <c r="E152" s="359" t="s">
        <v>17</v>
      </c>
      <c r="F152" s="435"/>
      <c r="H152" s="534"/>
      <c r="I152" s="366"/>
      <c r="T152" s="426"/>
    </row>
    <row r="153" spans="1:23" ht="18" customHeight="1" x14ac:dyDescent="0.2">
      <c r="A153" s="542"/>
      <c r="B153" s="353"/>
      <c r="C153" s="362" t="s">
        <v>213</v>
      </c>
      <c r="D153" s="343">
        <f>IF($D$17="dragende wanden",0,IF(E39=0,0,$F$55))</f>
        <v>120</v>
      </c>
      <c r="E153" s="360" t="s">
        <v>568</v>
      </c>
      <c r="F153" s="435"/>
      <c r="G153" s="360"/>
      <c r="H153" s="534"/>
      <c r="I153" s="366"/>
      <c r="K153" s="743" t="str">
        <f>CONCATENATE("Optietabel overspanningen vloeren en liggers ",K132)</f>
        <v>Optietabel overspanningen vloeren en liggers Verdiepingsvloer afwijkend</v>
      </c>
      <c r="L153" s="741"/>
      <c r="M153" s="741"/>
      <c r="N153" s="741"/>
      <c r="O153" s="741"/>
      <c r="P153" s="741"/>
      <c r="Q153" s="741"/>
      <c r="R153" s="741"/>
      <c r="S153" s="742"/>
      <c r="T153" s="426"/>
    </row>
    <row r="154" spans="1:23" ht="18" customHeight="1" x14ac:dyDescent="0.2">
      <c r="A154" s="542"/>
      <c r="B154" s="353"/>
      <c r="C154" s="430" t="str">
        <f>IF(OR($D154="gewalst staal S235",$D154="gewalst staal S355",$D154="gewalst staal S460"),"materiaalkeuze en voorkeursprofiel","materiaalkeuze")</f>
        <v>materiaalkeuze en voorkeursprofiel</v>
      </c>
      <c r="D154" s="862" t="s">
        <v>216</v>
      </c>
      <c r="E154" s="1294" t="s">
        <v>909</v>
      </c>
      <c r="F154" s="1298" t="str">
        <f>IF($D$17="dragende wanden",0,IF($E$39=0,0,'04_LIGGERS'!F55))</f>
        <v>320x8-240x30-520x15</v>
      </c>
      <c r="G154" s="360"/>
      <c r="H154" s="534"/>
      <c r="I154" s="366"/>
      <c r="K154" s="1433"/>
      <c r="L154" s="1434" t="s">
        <v>574</v>
      </c>
      <c r="M154" s="1435" t="s">
        <v>575</v>
      </c>
      <c r="N154" s="1436" t="s">
        <v>576</v>
      </c>
      <c r="O154" s="1437" t="s">
        <v>579</v>
      </c>
      <c r="P154" s="1438"/>
      <c r="Q154" s="1438"/>
      <c r="R154" s="1438"/>
      <c r="S154" s="1439"/>
      <c r="T154" s="426"/>
    </row>
    <row r="155" spans="1:23" ht="15" customHeight="1" x14ac:dyDescent="0.2">
      <c r="A155" s="1355"/>
      <c r="B155" s="1312"/>
      <c r="C155" s="1313" t="s">
        <v>88</v>
      </c>
      <c r="D155" s="1335">
        <f>IF($D$17="dragende wanden",0,IF(D154="prefab beton",'04_LIGGERS'!$G$55,0))</f>
        <v>0</v>
      </c>
      <c r="E155" s="1315" t="s">
        <v>889</v>
      </c>
      <c r="F155" s="1319"/>
      <c r="G155" s="1344"/>
      <c r="H155" s="1333">
        <f t="shared" ref="H155:H161" si="4">D155*$F$41*$E$39/$F$51</f>
        <v>0</v>
      </c>
      <c r="I155" s="1319" t="s">
        <v>826</v>
      </c>
      <c r="K155" s="1435" t="s">
        <v>570</v>
      </c>
      <c r="L155" s="1434" t="s">
        <v>70</v>
      </c>
      <c r="M155" s="1435" t="s">
        <v>70</v>
      </c>
      <c r="N155" s="1436" t="s">
        <v>65</v>
      </c>
      <c r="O155" s="1436" t="s">
        <v>40</v>
      </c>
      <c r="P155" s="1440" t="s">
        <v>582</v>
      </c>
      <c r="Q155" s="1440"/>
      <c r="R155" s="1440"/>
      <c r="S155" s="1441"/>
      <c r="T155" s="426"/>
    </row>
    <row r="156" spans="1:23" ht="15" customHeight="1" x14ac:dyDescent="0.2">
      <c r="A156" s="1355"/>
      <c r="B156" s="1312"/>
      <c r="C156" s="1313" t="s">
        <v>617</v>
      </c>
      <c r="D156" s="1335">
        <f>IF($D$17="dragende wanden",0,IF(D154="ihwg beton",'04_LIGGERS'!$G$55,0))</f>
        <v>0</v>
      </c>
      <c r="E156" s="1315" t="s">
        <v>889</v>
      </c>
      <c r="F156" s="1319"/>
      <c r="G156" s="1344"/>
      <c r="H156" s="1333">
        <f>D156*$F$41*$E$39/$F$51</f>
        <v>0</v>
      </c>
      <c r="I156" s="1319" t="s">
        <v>826</v>
      </c>
      <c r="K156" s="1435" t="s">
        <v>571</v>
      </c>
      <c r="L156" s="1435" t="s">
        <v>70</v>
      </c>
      <c r="M156" s="1435" t="s">
        <v>65</v>
      </c>
      <c r="N156" s="1436" t="s">
        <v>70</v>
      </c>
      <c r="O156" s="1436" t="s">
        <v>578</v>
      </c>
      <c r="P156" s="1440" t="s">
        <v>583</v>
      </c>
      <c r="Q156" s="1440"/>
      <c r="R156" s="1440"/>
      <c r="S156" s="1441"/>
      <c r="T156" s="426"/>
      <c r="U156" s="433"/>
      <c r="V156" s="433"/>
      <c r="W156" s="433"/>
    </row>
    <row r="157" spans="1:23" ht="15" customHeight="1" x14ac:dyDescent="0.2">
      <c r="A157" s="1355"/>
      <c r="B157" s="1312"/>
      <c r="C157" s="1313" t="s">
        <v>91</v>
      </c>
      <c r="D157" s="1335">
        <f>IF($D$17="dragende wanden",0,IF(OR(D154="prefab beton",D154="ihwg beton"),'04_LIGGERS'!X61,0))</f>
        <v>0</v>
      </c>
      <c r="E157" s="1315" t="s">
        <v>889</v>
      </c>
      <c r="F157" s="1319"/>
      <c r="G157" s="1344"/>
      <c r="H157" s="1333">
        <f t="shared" si="4"/>
        <v>0</v>
      </c>
      <c r="I157" s="1319" t="s">
        <v>826</v>
      </c>
      <c r="K157" s="1435" t="s">
        <v>572</v>
      </c>
      <c r="L157" s="1442" t="s">
        <v>65</v>
      </c>
      <c r="M157" s="1442" t="s">
        <v>70</v>
      </c>
      <c r="N157" s="1436" t="s">
        <v>65</v>
      </c>
      <c r="O157" s="1443" t="s">
        <v>578</v>
      </c>
      <c r="P157" s="1444" t="s">
        <v>583</v>
      </c>
      <c r="Q157" s="1445"/>
      <c r="R157" s="1445"/>
      <c r="S157" s="1446"/>
      <c r="T157" s="426"/>
      <c r="U157" s="682"/>
      <c r="V157" s="682"/>
      <c r="W157" s="433"/>
    </row>
    <row r="158" spans="1:23" ht="15" customHeight="1" x14ac:dyDescent="0.2">
      <c r="A158" s="1355"/>
      <c r="B158" s="1312"/>
      <c r="C158" s="1313" t="s">
        <v>376</v>
      </c>
      <c r="D158" s="1335">
        <f>IF($D$17="dragende wanden",0,IF(D154="gelamineerd hout",'04_LIGGERS'!$G$55,0))</f>
        <v>0</v>
      </c>
      <c r="E158" s="1315" t="s">
        <v>889</v>
      </c>
      <c r="F158" s="1319"/>
      <c r="G158" s="1344"/>
      <c r="H158" s="1333">
        <f t="shared" si="4"/>
        <v>0</v>
      </c>
      <c r="I158" s="1319" t="s">
        <v>826</v>
      </c>
      <c r="K158" s="1435" t="s">
        <v>573</v>
      </c>
      <c r="L158" s="1447" t="s">
        <v>65</v>
      </c>
      <c r="M158" s="1435" t="s">
        <v>65</v>
      </c>
      <c r="N158" s="1436" t="s">
        <v>70</v>
      </c>
      <c r="O158" s="1443" t="s">
        <v>40</v>
      </c>
      <c r="P158" s="1440" t="s">
        <v>582</v>
      </c>
      <c r="Q158" s="1445"/>
      <c r="R158" s="1445"/>
      <c r="S158" s="1446"/>
      <c r="T158" s="426"/>
      <c r="U158" s="682"/>
      <c r="V158" s="682"/>
      <c r="W158" s="433"/>
    </row>
    <row r="159" spans="1:23" ht="15" customHeight="1" x14ac:dyDescent="0.2">
      <c r="A159" s="1355"/>
      <c r="B159" s="1312"/>
      <c r="C159" s="1315" t="s">
        <v>216</v>
      </c>
      <c r="D159" s="1335">
        <f>IF($D$17="dragende wanden",0,IF(D154="gewalst staal S235",'04_LIGGERS'!$G$55,0))</f>
        <v>52.453062730627309</v>
      </c>
      <c r="E159" s="1315" t="s">
        <v>889</v>
      </c>
      <c r="F159" s="1332"/>
      <c r="G159" s="1344"/>
      <c r="H159" s="1333">
        <f t="shared" si="4"/>
        <v>10.48029982796756</v>
      </c>
      <c r="I159" s="1319" t="s">
        <v>826</v>
      </c>
      <c r="K159" s="1436" t="s">
        <v>577</v>
      </c>
      <c r="L159" s="1448" t="str">
        <f>D133</f>
        <v>y</v>
      </c>
      <c r="M159" s="1448" t="str">
        <f>D151</f>
        <v>x</v>
      </c>
      <c r="N159" s="1440" t="s">
        <v>580</v>
      </c>
      <c r="O159" s="1449" t="str">
        <f>IF(L159=M159,"ja",IF(L159&lt;&gt;M159,"niet"))</f>
        <v>niet</v>
      </c>
      <c r="P159" s="1450" t="s">
        <v>581</v>
      </c>
      <c r="Q159" s="1440"/>
      <c r="R159" s="1440"/>
      <c r="S159" s="1441"/>
      <c r="U159" s="682"/>
      <c r="V159" s="682"/>
      <c r="W159" s="433"/>
    </row>
    <row r="160" spans="1:23" ht="15" customHeight="1" x14ac:dyDescent="0.2">
      <c r="A160" s="1358"/>
      <c r="B160" s="1312"/>
      <c r="C160" s="1315" t="s">
        <v>217</v>
      </c>
      <c r="D160" s="1335">
        <f>IF($D$17="dragende wanden",0,IF(D154="gewalst staal S355",'04_LIGGERS'!$G$55,IF(D154="stalen vakwerk",'04_LIGGERS'!$G$55,0)))</f>
        <v>0</v>
      </c>
      <c r="E160" s="1315" t="s">
        <v>889</v>
      </c>
      <c r="F160" s="1332"/>
      <c r="G160" s="1359"/>
      <c r="H160" s="1333">
        <f t="shared" si="4"/>
        <v>0</v>
      </c>
      <c r="I160" s="1319" t="s">
        <v>826</v>
      </c>
      <c r="K160" s="442"/>
      <c r="L160" s="427"/>
      <c r="M160" s="427"/>
      <c r="N160" s="442"/>
      <c r="O160" s="529"/>
      <c r="P160" s="1132"/>
      <c r="Q160" s="442"/>
      <c r="R160" s="442"/>
      <c r="S160" s="442"/>
      <c r="U160" s="682"/>
      <c r="V160" s="682"/>
      <c r="W160" s="433"/>
    </row>
    <row r="161" spans="1:23" ht="15" customHeight="1" x14ac:dyDescent="0.2">
      <c r="A161" s="1355"/>
      <c r="B161" s="1312"/>
      <c r="C161" s="1315" t="s">
        <v>766</v>
      </c>
      <c r="D161" s="1335">
        <f>IF($D$17="dragende wanden",0,IF(D154="gewalst staal S460",'04_LIGGERS'!$G$55,0))</f>
        <v>0</v>
      </c>
      <c r="E161" s="1315" t="s">
        <v>889</v>
      </c>
      <c r="F161" s="1332"/>
      <c r="G161" s="1359"/>
      <c r="H161" s="1333">
        <f t="shared" si="4"/>
        <v>0</v>
      </c>
      <c r="I161" s="1319" t="s">
        <v>826</v>
      </c>
      <c r="K161" s="442"/>
      <c r="L161" s="442"/>
      <c r="M161" s="442"/>
      <c r="N161" s="442"/>
      <c r="O161" s="442"/>
      <c r="P161" s="442"/>
      <c r="Q161" s="442"/>
      <c r="R161" s="442"/>
      <c r="S161" s="442"/>
      <c r="U161" s="433"/>
      <c r="V161" s="433"/>
      <c r="W161" s="433"/>
    </row>
    <row r="162" spans="1:23" ht="15" customHeight="1" x14ac:dyDescent="0.2">
      <c r="A162" s="1355"/>
      <c r="B162" s="1324"/>
      <c r="C162" s="1325"/>
      <c r="D162" s="1325"/>
      <c r="E162" s="1348"/>
      <c r="F162" s="1326"/>
      <c r="G162" s="1344"/>
      <c r="H162" s="1360"/>
      <c r="I162" s="1361"/>
      <c r="K162" s="442"/>
      <c r="L162" s="442"/>
      <c r="M162" s="442"/>
      <c r="N162" s="442"/>
      <c r="O162" s="442"/>
      <c r="P162" s="442"/>
      <c r="Q162" s="442"/>
      <c r="R162" s="442"/>
      <c r="S162" s="442"/>
      <c r="U162" s="433"/>
      <c r="V162" s="433"/>
      <c r="W162" s="433"/>
    </row>
    <row r="163" spans="1:23" ht="18" customHeight="1" x14ac:dyDescent="0.2">
      <c r="A163" s="542"/>
      <c r="B163" s="476" t="s">
        <v>1087</v>
      </c>
      <c r="C163" s="502"/>
      <c r="D163" s="540"/>
      <c r="E163" s="1279"/>
      <c r="F163" s="504"/>
      <c r="G163" s="548"/>
      <c r="H163" s="413" t="s">
        <v>825</v>
      </c>
      <c r="I163" s="414"/>
      <c r="K163" s="442"/>
      <c r="L163" s="442"/>
      <c r="M163" s="442"/>
      <c r="N163" s="442"/>
      <c r="O163" s="442"/>
      <c r="P163" s="442"/>
      <c r="Q163" s="442"/>
      <c r="R163" s="442"/>
      <c r="S163" s="442"/>
      <c r="U163" s="433"/>
      <c r="V163" s="433"/>
      <c r="W163" s="433"/>
    </row>
    <row r="164" spans="1:23" ht="18" customHeight="1" x14ac:dyDescent="0.2">
      <c r="A164" s="542"/>
      <c r="B164" s="347"/>
      <c r="C164" s="1275" t="s">
        <v>271</v>
      </c>
      <c r="D164" s="1295" t="str">
        <f>IF($D$17="dragende wanden",0,IF(D151="x","y","x"))</f>
        <v>y</v>
      </c>
      <c r="E164" s="1296" t="s">
        <v>569</v>
      </c>
      <c r="F164" s="1297"/>
      <c r="G164" s="360"/>
      <c r="H164" s="534"/>
      <c r="I164" s="366"/>
      <c r="K164" s="442"/>
      <c r="L164" s="442"/>
      <c r="M164" s="442"/>
      <c r="N164" s="442"/>
      <c r="O164" s="442"/>
      <c r="P164" s="442"/>
      <c r="Q164" s="442"/>
      <c r="R164" s="442"/>
      <c r="S164" s="442"/>
    </row>
    <row r="165" spans="1:23" ht="18" customHeight="1" x14ac:dyDescent="0.2">
      <c r="A165" s="542"/>
      <c r="B165" s="353"/>
      <c r="C165" s="493" t="s">
        <v>375</v>
      </c>
      <c r="D165" s="860">
        <f>IF($D$17="dragende wanden",0,IF(D164="x",$F$13,$F$14))</f>
        <v>3.7</v>
      </c>
      <c r="E165" s="360" t="s">
        <v>17</v>
      </c>
      <c r="F165" s="861"/>
      <c r="H165" s="534"/>
      <c r="I165" s="366"/>
      <c r="K165" s="442"/>
      <c r="L165" s="442"/>
      <c r="M165" s="442"/>
      <c r="N165" s="442"/>
      <c r="O165" s="442"/>
      <c r="P165" s="442"/>
      <c r="Q165" s="442"/>
      <c r="R165" s="442"/>
      <c r="S165" s="442"/>
    </row>
    <row r="166" spans="1:23" ht="18" customHeight="1" x14ac:dyDescent="0.2">
      <c r="A166" s="542"/>
      <c r="B166" s="353"/>
      <c r="C166" s="1373" t="s">
        <v>892</v>
      </c>
      <c r="D166" s="862" t="s">
        <v>25</v>
      </c>
      <c r="E166" s="360"/>
      <c r="F166" s="861"/>
      <c r="H166" s="534"/>
      <c r="I166" s="366"/>
      <c r="K166" s="730"/>
      <c r="L166" s="730"/>
      <c r="M166" s="730"/>
      <c r="N166" s="730"/>
      <c r="O166" s="730"/>
      <c r="P166" s="730"/>
      <c r="Q166" s="730"/>
      <c r="R166" s="730"/>
      <c r="S166" s="730"/>
    </row>
    <row r="167" spans="1:23" ht="18" customHeight="1" x14ac:dyDescent="0.2">
      <c r="A167" s="542"/>
      <c r="B167" s="353"/>
      <c r="C167" s="430" t="s">
        <v>567</v>
      </c>
      <c r="D167" s="1293">
        <v>1</v>
      </c>
      <c r="E167" s="360"/>
      <c r="F167" s="435"/>
      <c r="H167" s="549"/>
      <c r="I167" s="366"/>
      <c r="K167" s="730"/>
      <c r="L167" s="730"/>
      <c r="M167" s="730"/>
      <c r="N167" s="730"/>
      <c r="O167" s="730"/>
      <c r="P167" s="730"/>
      <c r="Q167" s="730"/>
      <c r="R167" s="730"/>
      <c r="S167" s="730"/>
    </row>
    <row r="168" spans="1:23" ht="18" customHeight="1" x14ac:dyDescent="0.2">
      <c r="A168" s="542"/>
      <c r="B168" s="353"/>
      <c r="C168" s="430" t="str">
        <f>IF(OR($D168="gewalst staal S235",$D168="gewalst staal S355",$D168="gewalst staal S460"),"materiaalkeuze en voorkeursprofiel","materiaalkeuze")</f>
        <v>materiaalkeuze en voorkeursprofiel</v>
      </c>
      <c r="D168" s="862" t="s">
        <v>216</v>
      </c>
      <c r="E168" s="1294" t="s">
        <v>909</v>
      </c>
      <c r="F168" s="866" t="str">
        <f>IF($D$17="dragende wanden",0,IF($E$39=0,0,'04_LIGGERS'!F56))</f>
        <v>150x5-190x15-400x12</v>
      </c>
      <c r="H168" s="549"/>
      <c r="I168" s="366"/>
      <c r="K168" s="730"/>
      <c r="L168" s="730"/>
      <c r="M168" s="730"/>
      <c r="N168" s="730"/>
      <c r="O168" s="730"/>
      <c r="P168" s="730"/>
      <c r="Q168" s="730"/>
      <c r="R168" s="730"/>
      <c r="S168" s="730"/>
    </row>
    <row r="169" spans="1:23" ht="15" customHeight="1" x14ac:dyDescent="0.2">
      <c r="A169" s="1355"/>
      <c r="B169" s="1312"/>
      <c r="C169" s="1313" t="s">
        <v>88</v>
      </c>
      <c r="D169" s="1335">
        <f>IF($D$17="dragende wanden",0,IF(D168="prefab beton",'04_LIGGERS'!$G$56,0))</f>
        <v>0</v>
      </c>
      <c r="E169" s="1315" t="s">
        <v>889</v>
      </c>
      <c r="F169" s="1319"/>
      <c r="G169" s="1317"/>
      <c r="H169" s="1333">
        <f t="shared" ref="H169:H175" si="5">D169*$F$41*$E$39/$F$51</f>
        <v>0</v>
      </c>
      <c r="I169" s="1319" t="s">
        <v>826</v>
      </c>
      <c r="K169" s="730"/>
      <c r="L169" s="730"/>
      <c r="M169" s="730"/>
      <c r="N169" s="730"/>
      <c r="O169" s="730"/>
      <c r="P169" s="730"/>
      <c r="Q169" s="730"/>
      <c r="R169" s="730"/>
      <c r="S169" s="730"/>
    </row>
    <row r="170" spans="1:23" ht="15" customHeight="1" x14ac:dyDescent="0.2">
      <c r="A170" s="1355"/>
      <c r="B170" s="1312"/>
      <c r="C170" s="1313" t="s">
        <v>617</v>
      </c>
      <c r="D170" s="1335">
        <f>IF($D$17="dragende wanden",0,IF(D168="ihwg beton",'04_LIGGERS'!$G$56,0))</f>
        <v>0</v>
      </c>
      <c r="E170" s="1315" t="s">
        <v>889</v>
      </c>
      <c r="F170" s="1319"/>
      <c r="G170" s="1317"/>
      <c r="H170" s="1333">
        <f t="shared" si="5"/>
        <v>0</v>
      </c>
      <c r="I170" s="1319" t="s">
        <v>826</v>
      </c>
      <c r="J170" s="546"/>
      <c r="K170" s="442"/>
      <c r="L170" s="442"/>
      <c r="M170" s="442"/>
      <c r="N170" s="442"/>
      <c r="O170" s="442"/>
      <c r="P170" s="442"/>
      <c r="Q170" s="442"/>
      <c r="R170" s="442"/>
      <c r="S170" s="442"/>
    </row>
    <row r="171" spans="1:23" ht="15" customHeight="1" x14ac:dyDescent="0.2">
      <c r="A171" s="1355"/>
      <c r="B171" s="1312"/>
      <c r="C171" s="1313" t="s">
        <v>91</v>
      </c>
      <c r="D171" s="1335">
        <f>IF($D$17="dragende wanden",0,IF(AND(OR(D168="prefab beton",D168="ihwg beton"),D166="ja"),'04_LIGGERS'!X69,0))</f>
        <v>0</v>
      </c>
      <c r="E171" s="1315" t="s">
        <v>889</v>
      </c>
      <c r="F171" s="1319"/>
      <c r="G171" s="1332"/>
      <c r="H171" s="1342">
        <f t="shared" si="5"/>
        <v>0</v>
      </c>
      <c r="I171" s="1319" t="s">
        <v>826</v>
      </c>
      <c r="J171" s="359"/>
      <c r="K171" s="442"/>
      <c r="L171" s="442"/>
      <c r="M171" s="442"/>
      <c r="N171" s="442"/>
      <c r="O171" s="442"/>
      <c r="P171" s="442"/>
      <c r="Q171" s="442"/>
      <c r="R171" s="442"/>
      <c r="S171" s="442"/>
    </row>
    <row r="172" spans="1:23" ht="15" customHeight="1" x14ac:dyDescent="0.2">
      <c r="A172" s="1355"/>
      <c r="B172" s="1312"/>
      <c r="C172" s="1313" t="s">
        <v>376</v>
      </c>
      <c r="D172" s="1335">
        <f>IF($D$17="dragende wanden",0,IF(D168="gelamineerd hout",'04_LIGGERS'!$G$56,0))</f>
        <v>0</v>
      </c>
      <c r="E172" s="1315" t="s">
        <v>889</v>
      </c>
      <c r="F172" s="1319"/>
      <c r="G172" s="1332"/>
      <c r="H172" s="1342">
        <f t="shared" si="5"/>
        <v>0</v>
      </c>
      <c r="I172" s="1319" t="s">
        <v>826</v>
      </c>
    </row>
    <row r="173" spans="1:23" ht="15" customHeight="1" x14ac:dyDescent="0.2">
      <c r="A173" s="1355"/>
      <c r="B173" s="1312"/>
      <c r="C173" s="1315" t="s">
        <v>216</v>
      </c>
      <c r="D173" s="1335">
        <f>IF($D$17="dragende wanden",0,IF(D168="gewalst staal S235",'04_LIGGERS'!$G$56,0))</f>
        <v>0</v>
      </c>
      <c r="E173" s="1315" t="s">
        <v>889</v>
      </c>
      <c r="F173" s="1332"/>
      <c r="G173" s="1332"/>
      <c r="H173" s="1342">
        <f t="shared" si="5"/>
        <v>0</v>
      </c>
      <c r="I173" s="1319" t="s">
        <v>826</v>
      </c>
    </row>
    <row r="174" spans="1:23" ht="15" customHeight="1" x14ac:dyDescent="0.2">
      <c r="A174" s="1355"/>
      <c r="B174" s="1312"/>
      <c r="C174" s="1315" t="s">
        <v>217</v>
      </c>
      <c r="D174" s="1335">
        <f>IF($D$17="dragende wanden",0,IF(D168="gewalst staal S355",'04_LIGGERS'!$G$56,IF(D168="stalen vakwerk",'04_LIGGERS'!$G$56,0)))</f>
        <v>0</v>
      </c>
      <c r="E174" s="1315" t="s">
        <v>889</v>
      </c>
      <c r="F174" s="1332"/>
      <c r="G174" s="1332"/>
      <c r="H174" s="1342">
        <f t="shared" si="5"/>
        <v>0</v>
      </c>
      <c r="I174" s="1319" t="s">
        <v>826</v>
      </c>
    </row>
    <row r="175" spans="1:23" ht="15" customHeight="1" x14ac:dyDescent="0.2">
      <c r="A175" s="1356"/>
      <c r="B175" s="1324"/>
      <c r="C175" s="1325" t="s">
        <v>766</v>
      </c>
      <c r="D175" s="1335">
        <f>IF($D$17="dragende wanden",0,IF(D168="gewalst staal S460",'04_LIGGERS'!$G$56,0))</f>
        <v>0</v>
      </c>
      <c r="E175" s="1325" t="s">
        <v>889</v>
      </c>
      <c r="F175" s="1357"/>
      <c r="G175" s="1317"/>
      <c r="H175" s="1338">
        <f t="shared" si="5"/>
        <v>0</v>
      </c>
      <c r="I175" s="1326" t="s">
        <v>826</v>
      </c>
    </row>
    <row r="176" spans="1:23" ht="18" customHeight="1" thickBot="1" x14ac:dyDescent="0.25">
      <c r="B176" s="496"/>
      <c r="C176" s="536"/>
      <c r="D176" s="857"/>
      <c r="E176" s="497"/>
      <c r="F176" s="497"/>
      <c r="H176" s="551"/>
      <c r="I176" s="552"/>
    </row>
    <row r="177" spans="1:19" ht="18" customHeight="1" thickBot="1" x14ac:dyDescent="0.25">
      <c r="A177" s="553"/>
      <c r="B177" s="539" t="s">
        <v>214</v>
      </c>
      <c r="C177" s="502"/>
      <c r="D177" s="503">
        <f>$F$47</f>
        <v>1184</v>
      </c>
      <c r="E177" s="1279" t="s">
        <v>383</v>
      </c>
      <c r="F177" s="504"/>
      <c r="H177" s="413" t="s">
        <v>825</v>
      </c>
      <c r="I177" s="414"/>
      <c r="K177" s="415" t="s">
        <v>517</v>
      </c>
      <c r="L177" s="416"/>
      <c r="M177" s="416"/>
      <c r="N177" s="416"/>
      <c r="O177" s="416"/>
      <c r="P177" s="416"/>
      <c r="Q177" s="416"/>
      <c r="R177" s="416"/>
      <c r="S177" s="417"/>
    </row>
    <row r="178" spans="1:19" ht="18" customHeight="1" x14ac:dyDescent="0.2">
      <c r="A178" s="554"/>
      <c r="B178" s="347"/>
      <c r="C178" s="555" t="s">
        <v>215</v>
      </c>
      <c r="D178" s="3" t="s">
        <v>65</v>
      </c>
      <c r="E178" s="526" t="s">
        <v>524</v>
      </c>
      <c r="F178" s="527"/>
      <c r="H178" s="556"/>
      <c r="I178" s="351"/>
      <c r="K178" s="511" t="s">
        <v>587</v>
      </c>
      <c r="L178" s="426"/>
      <c r="M178" s="426"/>
      <c r="N178" s="426"/>
      <c r="O178" s="512"/>
      <c r="P178" s="427"/>
      <c r="Q178" s="426"/>
      <c r="R178" s="426"/>
      <c r="S178" s="428"/>
    </row>
    <row r="179" spans="1:19" ht="18" customHeight="1" x14ac:dyDescent="0.2">
      <c r="A179" s="554"/>
      <c r="B179" s="353"/>
      <c r="C179" s="430" t="s">
        <v>83</v>
      </c>
      <c r="D179" s="860">
        <f>IF(D17="dragende wanden",VLOOKUP(E18,D13:F14,3,0),IF(O204="niet",D209,IF(O204="ja",D196/D211)))</f>
        <v>3.7</v>
      </c>
      <c r="E179" s="359" t="s">
        <v>17</v>
      </c>
      <c r="F179" s="1849" t="s">
        <v>1247</v>
      </c>
      <c r="H179" s="549"/>
      <c r="I179" s="366"/>
      <c r="K179" s="514" t="s">
        <v>492</v>
      </c>
      <c r="L179" s="426"/>
      <c r="M179" s="426"/>
      <c r="N179" s="426"/>
      <c r="O179" s="426"/>
      <c r="P179" s="433"/>
      <c r="Q179" s="426"/>
      <c r="R179" s="426"/>
      <c r="S179" s="428"/>
    </row>
    <row r="180" spans="1:19" ht="18" customHeight="1" x14ac:dyDescent="0.2">
      <c r="A180" s="554"/>
      <c r="B180" s="353"/>
      <c r="C180" s="430" t="s">
        <v>212</v>
      </c>
      <c r="D180" s="2" t="s">
        <v>42</v>
      </c>
      <c r="E180" s="1282">
        <f>'03_VERD VLOEREN'!D70</f>
        <v>200</v>
      </c>
      <c r="F180" s="1850" t="s">
        <v>1248</v>
      </c>
      <c r="G180" s="360"/>
      <c r="H180" s="549"/>
      <c r="I180" s="366"/>
      <c r="K180" s="700" t="s">
        <v>195</v>
      </c>
      <c r="L180" s="701"/>
      <c r="M180" s="701"/>
      <c r="N180" s="864">
        <v>1</v>
      </c>
      <c r="O180" s="426" t="s">
        <v>382</v>
      </c>
      <c r="P180" s="426"/>
      <c r="Q180" s="426"/>
      <c r="R180" s="426"/>
      <c r="S180" s="428"/>
    </row>
    <row r="181" spans="1:19" ht="18" customHeight="1" x14ac:dyDescent="0.2">
      <c r="A181" s="554"/>
      <c r="B181" s="353"/>
      <c r="C181" s="368" t="s">
        <v>195</v>
      </c>
      <c r="D181" s="557" t="s">
        <v>559</v>
      </c>
      <c r="E181" s="360"/>
      <c r="F181" s="435"/>
      <c r="G181" s="360"/>
      <c r="H181" s="534"/>
      <c r="I181" s="366"/>
      <c r="K181" s="700" t="s">
        <v>32</v>
      </c>
      <c r="L181" s="701" t="str">
        <f>D182</f>
        <v>licht 0,2 kN/m2</v>
      </c>
      <c r="M181" s="436"/>
      <c r="N181" s="687">
        <f>VLOOKUP(L181,KEUZELIJSTEN!$A$23:$D$25,2,0)</f>
        <v>0.2</v>
      </c>
      <c r="O181" s="426" t="s">
        <v>382</v>
      </c>
      <c r="P181" s="426"/>
      <c r="Q181" s="426"/>
      <c r="R181" s="426"/>
      <c r="S181" s="428"/>
    </row>
    <row r="182" spans="1:19" ht="14.25" x14ac:dyDescent="0.2">
      <c r="A182" s="554"/>
      <c r="B182" s="353"/>
      <c r="C182" s="368" t="s">
        <v>891</v>
      </c>
      <c r="D182" s="2" t="s">
        <v>609</v>
      </c>
      <c r="E182" s="360"/>
      <c r="F182" s="435"/>
      <c r="G182" s="360"/>
      <c r="H182" s="534"/>
      <c r="I182" s="366"/>
      <c r="K182" s="700" t="s">
        <v>196</v>
      </c>
      <c r="L182" s="701"/>
      <c r="M182" s="436"/>
      <c r="N182" s="864">
        <v>0.2</v>
      </c>
      <c r="O182" s="426" t="s">
        <v>382</v>
      </c>
      <c r="P182" s="426"/>
      <c r="Q182" s="426"/>
      <c r="R182" s="426"/>
      <c r="S182" s="428"/>
    </row>
    <row r="183" spans="1:19" ht="18" customHeight="1" x14ac:dyDescent="0.2">
      <c r="A183" s="554"/>
      <c r="B183" s="353"/>
      <c r="C183" s="362" t="s">
        <v>196</v>
      </c>
      <c r="D183" s="557" t="s">
        <v>560</v>
      </c>
      <c r="E183" s="360"/>
      <c r="F183" s="435"/>
      <c r="G183" s="360"/>
      <c r="H183" s="534"/>
      <c r="I183" s="366"/>
      <c r="K183" s="511" t="s">
        <v>491</v>
      </c>
      <c r="L183" s="426"/>
      <c r="M183" s="433"/>
      <c r="N183" s="703">
        <f>SUM(N180:N182)</f>
        <v>1.4</v>
      </c>
      <c r="O183" s="461" t="s">
        <v>387</v>
      </c>
      <c r="P183" s="438"/>
      <c r="Q183" s="438"/>
      <c r="R183" s="426"/>
      <c r="S183" s="428"/>
    </row>
    <row r="184" spans="1:19" ht="15" customHeight="1" x14ac:dyDescent="0.2">
      <c r="A184" s="1339"/>
      <c r="B184" s="1312"/>
      <c r="C184" s="1313" t="s">
        <v>617</v>
      </c>
      <c r="D184" s="1314">
        <f>'03_VERD VLOEREN'!E70</f>
        <v>0</v>
      </c>
      <c r="E184" s="1315" t="s">
        <v>889</v>
      </c>
      <c r="F184" s="1319"/>
      <c r="G184" s="1344"/>
      <c r="H184" s="1333">
        <f t="shared" ref="H184:H192" si="6">D184*$F$47/$F$51</f>
        <v>0</v>
      </c>
      <c r="I184" s="1319" t="s">
        <v>826</v>
      </c>
      <c r="K184" s="515" t="s">
        <v>231</v>
      </c>
      <c r="L184" s="427"/>
      <c r="M184" s="469"/>
      <c r="N184" s="703">
        <f>'03_VERD VLOEREN'!R70/100</f>
        <v>4.47</v>
      </c>
      <c r="O184" s="467" t="s">
        <v>381</v>
      </c>
      <c r="P184" s="438"/>
      <c r="Q184" s="438"/>
      <c r="R184" s="433"/>
      <c r="S184" s="443"/>
    </row>
    <row r="185" spans="1:19" ht="15" customHeight="1" x14ac:dyDescent="0.2">
      <c r="A185" s="1339"/>
      <c r="B185" s="1312"/>
      <c r="C185" s="1313" t="s">
        <v>88</v>
      </c>
      <c r="D185" s="1314">
        <f>'03_VERD VLOEREN'!F70</f>
        <v>303</v>
      </c>
      <c r="E185" s="1315" t="s">
        <v>889</v>
      </c>
      <c r="F185" s="1319"/>
      <c r="G185" s="1317"/>
      <c r="H185" s="1333">
        <f t="shared" si="6"/>
        <v>22.041779306955025</v>
      </c>
      <c r="I185" s="1319" t="s">
        <v>826</v>
      </c>
      <c r="K185" s="425" t="s">
        <v>493</v>
      </c>
      <c r="L185" s="426"/>
      <c r="M185" s="433"/>
      <c r="N185" s="703">
        <f>N183+N184</f>
        <v>5.8699999999999992</v>
      </c>
      <c r="O185" s="461" t="s">
        <v>387</v>
      </c>
      <c r="P185" s="438"/>
      <c r="Q185" s="438"/>
      <c r="R185" s="433"/>
      <c r="S185" s="443"/>
    </row>
    <row r="186" spans="1:19" ht="15" customHeight="1" x14ac:dyDescent="0.2">
      <c r="A186" s="1339"/>
      <c r="B186" s="1312"/>
      <c r="C186" s="1313" t="s">
        <v>91</v>
      </c>
      <c r="D186" s="1314">
        <f>'03_VERD VLOEREN'!G70</f>
        <v>0</v>
      </c>
      <c r="E186" s="1315" t="s">
        <v>889</v>
      </c>
      <c r="F186" s="1319"/>
      <c r="G186" s="1317"/>
      <c r="H186" s="1333">
        <f t="shared" si="6"/>
        <v>0</v>
      </c>
      <c r="I186" s="1319" t="s">
        <v>826</v>
      </c>
      <c r="K186" s="448" t="s">
        <v>625</v>
      </c>
      <c r="L186" s="449"/>
      <c r="M186" s="450"/>
      <c r="N186" s="711">
        <v>1</v>
      </c>
      <c r="O186" s="710" t="s">
        <v>387</v>
      </c>
      <c r="P186" s="451"/>
      <c r="Q186" s="451"/>
      <c r="R186" s="450"/>
      <c r="S186" s="452"/>
    </row>
    <row r="187" spans="1:19" ht="15" customHeight="1" x14ac:dyDescent="0.2">
      <c r="A187" s="1339"/>
      <c r="B187" s="1312"/>
      <c r="C187" s="1315" t="s">
        <v>202</v>
      </c>
      <c r="D187" s="1314">
        <f>'03_VERD VLOEREN'!H70</f>
        <v>1.82</v>
      </c>
      <c r="E187" s="1315" t="s">
        <v>889</v>
      </c>
      <c r="F187" s="1332"/>
      <c r="G187" s="1317"/>
      <c r="H187" s="1333">
        <f t="shared" si="6"/>
        <v>0.13239616613418531</v>
      </c>
      <c r="I187" s="1319" t="s">
        <v>826</v>
      </c>
      <c r="K187" s="454"/>
      <c r="L187" s="455"/>
      <c r="M187" s="708" t="s">
        <v>37</v>
      </c>
      <c r="N187" s="712">
        <v>0</v>
      </c>
      <c r="O187" s="457"/>
      <c r="P187" s="456"/>
      <c r="Q187" s="456"/>
      <c r="R187" s="457"/>
      <c r="S187" s="458"/>
    </row>
    <row r="188" spans="1:19" ht="15" customHeight="1" x14ac:dyDescent="0.2">
      <c r="A188" s="1339"/>
      <c r="B188" s="1312"/>
      <c r="C188" s="1315" t="s">
        <v>216</v>
      </c>
      <c r="D188" s="1314">
        <f>'03_VERD VLOEREN'!I70</f>
        <v>0</v>
      </c>
      <c r="E188" s="1315" t="s">
        <v>889</v>
      </c>
      <c r="F188" s="1319"/>
      <c r="G188" s="1317"/>
      <c r="H188" s="1333">
        <f t="shared" si="6"/>
        <v>0</v>
      </c>
      <c r="I188" s="1319" t="s">
        <v>826</v>
      </c>
      <c r="J188" s="359"/>
      <c r="K188" s="459" t="s">
        <v>626</v>
      </c>
      <c r="L188" s="426"/>
      <c r="M188" s="433"/>
      <c r="N188" s="629"/>
      <c r="O188" s="629"/>
      <c r="P188" s="460">
        <f>N183+N186</f>
        <v>2.4</v>
      </c>
      <c r="Q188" s="461" t="s">
        <v>16</v>
      </c>
      <c r="R188" s="462"/>
      <c r="S188" s="463"/>
    </row>
    <row r="189" spans="1:19" ht="15" customHeight="1" x14ac:dyDescent="0.2">
      <c r="A189" s="1339"/>
      <c r="B189" s="1312"/>
      <c r="C189" s="1315" t="s">
        <v>292</v>
      </c>
      <c r="D189" s="1314">
        <f>'03_VERD VLOEREN'!P70</f>
        <v>0</v>
      </c>
      <c r="E189" s="1315" t="s">
        <v>889</v>
      </c>
      <c r="F189" s="1319"/>
      <c r="G189" s="1317"/>
      <c r="H189" s="1333">
        <f t="shared" si="6"/>
        <v>0</v>
      </c>
      <c r="I189" s="1319" t="s">
        <v>826</v>
      </c>
      <c r="J189" s="380"/>
      <c r="K189" s="459" t="s">
        <v>627</v>
      </c>
      <c r="L189" s="426"/>
      <c r="M189" s="433"/>
      <c r="N189" s="629"/>
      <c r="O189" s="629"/>
      <c r="P189" s="441">
        <f>N185+N186</f>
        <v>6.8699999999999992</v>
      </c>
      <c r="Q189" s="438" t="s">
        <v>387</v>
      </c>
      <c r="R189" s="426"/>
      <c r="S189" s="465"/>
    </row>
    <row r="190" spans="1:19" ht="15" customHeight="1" x14ac:dyDescent="0.3">
      <c r="A190" s="1339"/>
      <c r="B190" s="1312"/>
      <c r="C190" s="1315" t="s">
        <v>467</v>
      </c>
      <c r="D190" s="1314">
        <f>'03_VERD VLOEREN'!L70</f>
        <v>0</v>
      </c>
      <c r="E190" s="1315" t="s">
        <v>889</v>
      </c>
      <c r="F190" s="1319"/>
      <c r="G190" s="1317"/>
      <c r="H190" s="1333">
        <f t="shared" si="6"/>
        <v>0</v>
      </c>
      <c r="I190" s="1319" t="s">
        <v>826</v>
      </c>
      <c r="K190" s="466" t="s">
        <v>395</v>
      </c>
      <c r="L190" s="467">
        <v>1.2</v>
      </c>
      <c r="M190" s="436" t="s">
        <v>59</v>
      </c>
      <c r="N190" s="468">
        <f>N183</f>
        <v>1.4</v>
      </c>
      <c r="O190" s="436" t="s">
        <v>60</v>
      </c>
      <c r="P190" s="469">
        <f>L190*N190</f>
        <v>1.68</v>
      </c>
      <c r="Q190" s="433" t="s">
        <v>16</v>
      </c>
      <c r="R190" s="426"/>
      <c r="S190" s="465"/>
    </row>
    <row r="191" spans="1:19" ht="15" customHeight="1" x14ac:dyDescent="0.3">
      <c r="A191" s="1339"/>
      <c r="B191" s="1312"/>
      <c r="C191" s="1315" t="s">
        <v>194</v>
      </c>
      <c r="D191" s="1314">
        <f>'03_VERD VLOEREN'!N70</f>
        <v>0</v>
      </c>
      <c r="E191" s="1315" t="s">
        <v>889</v>
      </c>
      <c r="F191" s="1353"/>
      <c r="G191" s="1317"/>
      <c r="H191" s="1333">
        <f t="shared" si="6"/>
        <v>0</v>
      </c>
      <c r="I191" s="1319" t="s">
        <v>826</v>
      </c>
      <c r="K191" s="466" t="s">
        <v>396</v>
      </c>
      <c r="L191" s="467">
        <v>1.5</v>
      </c>
      <c r="M191" s="436" t="s">
        <v>59</v>
      </c>
      <c r="N191" s="468">
        <f>N186</f>
        <v>1</v>
      </c>
      <c r="O191" s="436" t="s">
        <v>60</v>
      </c>
      <c r="P191" s="468">
        <f>L191*N191</f>
        <v>1.5</v>
      </c>
      <c r="Q191" s="433" t="s">
        <v>61</v>
      </c>
      <c r="R191" s="470">
        <f>L191*N191*N187</f>
        <v>0</v>
      </c>
      <c r="S191" s="471" t="s">
        <v>397</v>
      </c>
    </row>
    <row r="192" spans="1:19" ht="15" customHeight="1" x14ac:dyDescent="0.2">
      <c r="A192" s="1339"/>
      <c r="B192" s="1312"/>
      <c r="C192" s="1315" t="s">
        <v>173</v>
      </c>
      <c r="D192" s="1314">
        <f>'03_VERD VLOEREN'!O70</f>
        <v>0</v>
      </c>
      <c r="E192" s="1344" t="s">
        <v>890</v>
      </c>
      <c r="F192" s="1319"/>
      <c r="G192" s="1344"/>
      <c r="H192" s="1333">
        <f t="shared" si="6"/>
        <v>0</v>
      </c>
      <c r="I192" s="1319" t="s">
        <v>826</v>
      </c>
      <c r="K192" s="459" t="s">
        <v>628</v>
      </c>
      <c r="L192" s="433"/>
      <c r="M192" s="472"/>
      <c r="N192" s="473"/>
      <c r="O192" s="433"/>
      <c r="P192" s="460">
        <f>SUM(P190:P191)</f>
        <v>3.1799999999999997</v>
      </c>
      <c r="Q192" s="461" t="s">
        <v>16</v>
      </c>
      <c r="R192" s="474">
        <f>P190+(P191*N187)</f>
        <v>1.68</v>
      </c>
      <c r="S192" s="475" t="s">
        <v>525</v>
      </c>
    </row>
    <row r="193" spans="1:19" ht="15" customHeight="1" x14ac:dyDescent="0.2">
      <c r="A193" s="1339"/>
      <c r="B193" s="1324"/>
      <c r="C193" s="1325"/>
      <c r="D193" s="1337"/>
      <c r="E193" s="1348"/>
      <c r="F193" s="1326"/>
      <c r="G193" s="1317"/>
      <c r="H193" s="1354"/>
      <c r="I193" s="1352"/>
      <c r="J193" s="356"/>
      <c r="K193" s="517" t="s">
        <v>629</v>
      </c>
      <c r="L193" s="457"/>
      <c r="M193" s="518"/>
      <c r="N193" s="519"/>
      <c r="O193" s="457"/>
      <c r="P193" s="520">
        <f>P192+1.2*N184</f>
        <v>8.5440000000000005</v>
      </c>
      <c r="Q193" s="521" t="s">
        <v>16</v>
      </c>
      <c r="R193" s="522">
        <f>R192+1.2*N184</f>
        <v>7.0439999999999996</v>
      </c>
      <c r="S193" s="523" t="s">
        <v>525</v>
      </c>
    </row>
    <row r="194" spans="1:19" ht="18" customHeight="1" x14ac:dyDescent="0.2">
      <c r="A194" s="554"/>
      <c r="B194" s="539" t="s">
        <v>1088</v>
      </c>
      <c r="C194" s="502"/>
      <c r="D194" s="503"/>
      <c r="E194" s="1279"/>
      <c r="F194" s="504"/>
      <c r="H194" s="413" t="s">
        <v>825</v>
      </c>
      <c r="I194" s="414"/>
      <c r="J194" s="356"/>
      <c r="K194" s="432" t="s">
        <v>302</v>
      </c>
      <c r="L194" s="524">
        <f>E180/1000</f>
        <v>0.2</v>
      </c>
      <c r="M194" s="449" t="s">
        <v>17</v>
      </c>
      <c r="N194" s="426"/>
      <c r="O194" s="426"/>
      <c r="P194" s="426"/>
      <c r="Q194" s="426"/>
      <c r="R194" s="426"/>
      <c r="S194" s="428"/>
    </row>
    <row r="195" spans="1:19" ht="18" customHeight="1" x14ac:dyDescent="0.2">
      <c r="A195" s="554"/>
      <c r="B195" s="347"/>
      <c r="C195" s="525" t="s">
        <v>272</v>
      </c>
      <c r="D195" s="1293" t="s">
        <v>70</v>
      </c>
      <c r="E195" s="526" t="s">
        <v>524</v>
      </c>
      <c r="F195" s="527"/>
      <c r="H195" s="556"/>
      <c r="I195" s="351"/>
      <c r="J195" s="356"/>
      <c r="K195" s="514" t="s">
        <v>34</v>
      </c>
      <c r="L195" s="683">
        <v>0</v>
      </c>
      <c r="M195" s="426" t="s">
        <v>17</v>
      </c>
      <c r="N195" s="426"/>
      <c r="O195" s="426"/>
      <c r="P195" s="426"/>
      <c r="Q195" s="426"/>
      <c r="R195" s="426"/>
      <c r="S195" s="428"/>
    </row>
    <row r="196" spans="1:19" ht="18" customHeight="1" x14ac:dyDescent="0.2">
      <c r="A196" s="554"/>
      <c r="B196" s="353"/>
      <c r="C196" s="430" t="s">
        <v>210</v>
      </c>
      <c r="D196" s="860">
        <f>IF($D$17="dragende wanden",0,IF(D195="y",$F$14,IF(D195="x",$F$13)))</f>
        <v>10</v>
      </c>
      <c r="E196" s="359" t="s">
        <v>17</v>
      </c>
      <c r="F196" s="435"/>
      <c r="H196" s="549"/>
      <c r="I196" s="366"/>
      <c r="J196" s="360"/>
      <c r="K196" s="490" t="s">
        <v>496</v>
      </c>
      <c r="L196" s="491">
        <f>SUM(L194:L195)</f>
        <v>0.2</v>
      </c>
      <c r="M196" s="456" t="s">
        <v>17</v>
      </c>
      <c r="N196" s="455"/>
      <c r="O196" s="455"/>
      <c r="P196" s="455"/>
      <c r="Q196" s="455"/>
      <c r="R196" s="455"/>
      <c r="S196" s="492"/>
    </row>
    <row r="197" spans="1:19" ht="18" customHeight="1" x14ac:dyDescent="0.2">
      <c r="A197" s="554"/>
      <c r="B197" s="353"/>
      <c r="C197" s="362" t="s">
        <v>213</v>
      </c>
      <c r="D197" s="343">
        <f>IF($D$17="dragende wanden",0,$F$55)</f>
        <v>120</v>
      </c>
      <c r="E197" s="360" t="s">
        <v>568</v>
      </c>
      <c r="F197" s="435"/>
      <c r="H197" s="534"/>
      <c r="I197" s="366"/>
    </row>
    <row r="198" spans="1:19" ht="18" customHeight="1" x14ac:dyDescent="0.2">
      <c r="A198" s="554"/>
      <c r="B198" s="353"/>
      <c r="C198" s="430" t="str">
        <f>IF(OR($D198="gewalst staal S235",$D198="gewalst staal S355",$D198="gewalst staal S460"),"materiaalkeuze en voorkeursprofiel","materiaalkeuze")</f>
        <v>materiaalkeuze en voorkeursprofiel</v>
      </c>
      <c r="D198" s="862" t="s">
        <v>217</v>
      </c>
      <c r="E198" s="1294" t="s">
        <v>869</v>
      </c>
      <c r="F198" s="1298" t="str">
        <f>IF($D$17="dragende wanden","",'04_LIGGERS'!I55)</f>
        <v>HEA360</v>
      </c>
      <c r="G198" s="356"/>
      <c r="H198" s="558"/>
      <c r="I198" s="559"/>
      <c r="K198" s="743" t="str">
        <f>CONCATENATE("Optietabel overspanningen vloeren en liggers ",K177)</f>
        <v>Optietabel overspanningen vloeren en liggers Dakvloer</v>
      </c>
      <c r="L198" s="741"/>
      <c r="M198" s="741"/>
      <c r="N198" s="741"/>
      <c r="O198" s="741"/>
      <c r="P198" s="741"/>
      <c r="Q198" s="741"/>
      <c r="R198" s="741"/>
      <c r="S198" s="742"/>
    </row>
    <row r="199" spans="1:19" ht="15" customHeight="1" x14ac:dyDescent="0.2">
      <c r="A199" s="1343"/>
      <c r="B199" s="1312"/>
      <c r="C199" s="1313" t="s">
        <v>88</v>
      </c>
      <c r="D199" s="1335">
        <f>IF($D$17="dragende wanden",0,IF(D198="prefab beton",'04_LIGGERS'!$J$55,0))</f>
        <v>0</v>
      </c>
      <c r="E199" s="1315" t="s">
        <v>889</v>
      </c>
      <c r="F199" s="1319"/>
      <c r="G199" s="1350"/>
      <c r="H199" s="1333">
        <f>D199*$F$47/$F$51</f>
        <v>0</v>
      </c>
      <c r="I199" s="1319" t="s">
        <v>826</v>
      </c>
      <c r="K199" s="1433"/>
      <c r="L199" s="1434" t="s">
        <v>574</v>
      </c>
      <c r="M199" s="1435" t="s">
        <v>575</v>
      </c>
      <c r="N199" s="1436" t="s">
        <v>576</v>
      </c>
      <c r="O199" s="1437" t="s">
        <v>579</v>
      </c>
      <c r="P199" s="1438"/>
      <c r="Q199" s="1438"/>
      <c r="R199" s="1438"/>
      <c r="S199" s="1439"/>
    </row>
    <row r="200" spans="1:19" ht="15" customHeight="1" x14ac:dyDescent="0.2">
      <c r="A200" s="1343"/>
      <c r="B200" s="1312"/>
      <c r="C200" s="1313" t="s">
        <v>617</v>
      </c>
      <c r="D200" s="1335">
        <f>IF($D$17="dragende wanden",0,IF(D198="ihwg beton",'04_LIGGERS'!$J$55,0))</f>
        <v>0</v>
      </c>
      <c r="E200" s="1315" t="s">
        <v>889</v>
      </c>
      <c r="F200" s="1319"/>
      <c r="G200" s="1350"/>
      <c r="H200" s="1333">
        <f t="shared" ref="H200:H205" si="7">D200*$F$47/$F$51</f>
        <v>0</v>
      </c>
      <c r="I200" s="1319" t="s">
        <v>826</v>
      </c>
      <c r="K200" s="1435" t="s">
        <v>570</v>
      </c>
      <c r="L200" s="1434" t="s">
        <v>70</v>
      </c>
      <c r="M200" s="1435" t="s">
        <v>70</v>
      </c>
      <c r="N200" s="1436" t="s">
        <v>65</v>
      </c>
      <c r="O200" s="1436" t="s">
        <v>40</v>
      </c>
      <c r="P200" s="1440" t="s">
        <v>582</v>
      </c>
      <c r="Q200" s="1440"/>
      <c r="R200" s="1440"/>
      <c r="S200" s="1441"/>
    </row>
    <row r="201" spans="1:19" ht="15" customHeight="1" x14ac:dyDescent="0.2">
      <c r="A201" s="1339"/>
      <c r="B201" s="1312"/>
      <c r="C201" s="1313" t="s">
        <v>91</v>
      </c>
      <c r="D201" s="1335">
        <f>IF($D$17="dragende wanden",0,IF(OR(D198="prefab beton",D198="ihwg beton"),'04_LIGGERS'!AA61,0))</f>
        <v>0</v>
      </c>
      <c r="E201" s="1315" t="s">
        <v>889</v>
      </c>
      <c r="F201" s="1319"/>
      <c r="G201" s="1344"/>
      <c r="H201" s="1333">
        <f t="shared" si="7"/>
        <v>0</v>
      </c>
      <c r="I201" s="1319" t="s">
        <v>826</v>
      </c>
      <c r="K201" s="1435" t="s">
        <v>571</v>
      </c>
      <c r="L201" s="1435" t="s">
        <v>70</v>
      </c>
      <c r="M201" s="1435" t="s">
        <v>65</v>
      </c>
      <c r="N201" s="1436" t="s">
        <v>70</v>
      </c>
      <c r="O201" s="1436" t="s">
        <v>578</v>
      </c>
      <c r="P201" s="1440" t="s">
        <v>583</v>
      </c>
      <c r="Q201" s="1440"/>
      <c r="R201" s="1440"/>
      <c r="S201" s="1441"/>
    </row>
    <row r="202" spans="1:19" ht="15" customHeight="1" x14ac:dyDescent="0.2">
      <c r="A202" s="1339"/>
      <c r="B202" s="1312"/>
      <c r="C202" s="1313" t="s">
        <v>376</v>
      </c>
      <c r="D202" s="1335">
        <f>IF($D$17="dragende wanden",0,IF(D198="gelamineerd hout",'04_LIGGERS'!$J$55,0))</f>
        <v>0</v>
      </c>
      <c r="E202" s="1315" t="s">
        <v>889</v>
      </c>
      <c r="F202" s="1319"/>
      <c r="G202" s="1317"/>
      <c r="H202" s="1333">
        <f t="shared" si="7"/>
        <v>0</v>
      </c>
      <c r="I202" s="1319" t="s">
        <v>826</v>
      </c>
      <c r="K202" s="1435" t="s">
        <v>572</v>
      </c>
      <c r="L202" s="1442" t="s">
        <v>65</v>
      </c>
      <c r="M202" s="1442" t="s">
        <v>70</v>
      </c>
      <c r="N202" s="1436" t="s">
        <v>65</v>
      </c>
      <c r="O202" s="1443" t="s">
        <v>578</v>
      </c>
      <c r="P202" s="1444" t="s">
        <v>583</v>
      </c>
      <c r="Q202" s="1445"/>
      <c r="R202" s="1445"/>
      <c r="S202" s="1446"/>
    </row>
    <row r="203" spans="1:19" ht="15" customHeight="1" x14ac:dyDescent="0.2">
      <c r="A203" s="1339"/>
      <c r="B203" s="1312"/>
      <c r="C203" s="1315" t="s">
        <v>216</v>
      </c>
      <c r="D203" s="1335">
        <f>IF($D$17="dragende wanden",0,IF(D198="gewalst staal S235",'04_LIGGERS'!$J$55,0))</f>
        <v>0</v>
      </c>
      <c r="E203" s="1315" t="s">
        <v>889</v>
      </c>
      <c r="F203" s="1332"/>
      <c r="G203" s="1317"/>
      <c r="H203" s="1333">
        <f t="shared" si="7"/>
        <v>0</v>
      </c>
      <c r="I203" s="1319" t="s">
        <v>826</v>
      </c>
      <c r="K203" s="1435" t="s">
        <v>573</v>
      </c>
      <c r="L203" s="1447" t="s">
        <v>65</v>
      </c>
      <c r="M203" s="1435" t="s">
        <v>65</v>
      </c>
      <c r="N203" s="1436" t="s">
        <v>70</v>
      </c>
      <c r="O203" s="1443" t="s">
        <v>40</v>
      </c>
      <c r="P203" s="1440" t="s">
        <v>582</v>
      </c>
      <c r="Q203" s="1445"/>
      <c r="R203" s="1445"/>
      <c r="S203" s="1446"/>
    </row>
    <row r="204" spans="1:19" ht="15" customHeight="1" x14ac:dyDescent="0.2">
      <c r="A204" s="1339"/>
      <c r="B204" s="1312"/>
      <c r="C204" s="1315" t="s">
        <v>217</v>
      </c>
      <c r="D204" s="1335">
        <f>IF($D$17="dragende wanden",0,IF(D198="gewalst staal S355",'04_LIGGERS'!$J$55,IF(D198="stalen vakwerk",'04_LIGGERS'!$J$55,0)))</f>
        <v>34.083851351351356</v>
      </c>
      <c r="E204" s="1315" t="s">
        <v>889</v>
      </c>
      <c r="F204" s="1332"/>
      <c r="G204" s="1317"/>
      <c r="H204" s="1333">
        <f t="shared" si="7"/>
        <v>2.4794347505529619</v>
      </c>
      <c r="I204" s="1319" t="s">
        <v>826</v>
      </c>
      <c r="K204" s="1436" t="s">
        <v>577</v>
      </c>
      <c r="L204" s="1448" t="str">
        <f>D178</f>
        <v>y</v>
      </c>
      <c r="M204" s="1448" t="str">
        <f>D195</f>
        <v>x</v>
      </c>
      <c r="N204" s="1440" t="s">
        <v>580</v>
      </c>
      <c r="O204" s="1449" t="str">
        <f>IF(L204=M204,"ja",IF(L204&lt;&gt;M204,"niet"))</f>
        <v>niet</v>
      </c>
      <c r="P204" s="1450" t="s">
        <v>581</v>
      </c>
      <c r="Q204" s="1440"/>
      <c r="R204" s="1440"/>
      <c r="S204" s="1441"/>
    </row>
    <row r="205" spans="1:19" ht="15" customHeight="1" x14ac:dyDescent="0.2">
      <c r="A205" s="1339"/>
      <c r="B205" s="1312"/>
      <c r="C205" s="1315" t="s">
        <v>766</v>
      </c>
      <c r="D205" s="1335">
        <f>IF($D$17="dragende wanden",0,IF(D198="gewalst staal S460",'04_LIGGERS'!$J$55,0))</f>
        <v>0</v>
      </c>
      <c r="E205" s="1315" t="s">
        <v>889</v>
      </c>
      <c r="F205" s="1332"/>
      <c r="G205" s="1344"/>
      <c r="H205" s="1333">
        <f t="shared" si="7"/>
        <v>0</v>
      </c>
      <c r="I205" s="1319" t="s">
        <v>826</v>
      </c>
      <c r="K205" s="403"/>
      <c r="L205" s="403"/>
      <c r="M205" s="403"/>
      <c r="N205" s="403"/>
      <c r="O205" s="403"/>
      <c r="P205" s="403"/>
      <c r="Q205" s="403"/>
      <c r="R205" s="403"/>
      <c r="S205" s="403"/>
    </row>
    <row r="206" spans="1:19" ht="15" customHeight="1" x14ac:dyDescent="0.2">
      <c r="A206" s="1339"/>
      <c r="B206" s="1324"/>
      <c r="C206" s="1325"/>
      <c r="D206" s="1325"/>
      <c r="E206" s="1348"/>
      <c r="F206" s="1326"/>
      <c r="G206" s="1344"/>
      <c r="H206" s="1351"/>
      <c r="I206" s="1352"/>
      <c r="K206" s="438"/>
      <c r="L206" s="529"/>
      <c r="M206" s="438"/>
      <c r="N206" s="529"/>
      <c r="O206" s="438"/>
      <c r="P206" s="426"/>
      <c r="Q206" s="426"/>
      <c r="R206" s="426"/>
      <c r="S206" s="426"/>
    </row>
    <row r="207" spans="1:19" ht="18" customHeight="1" x14ac:dyDescent="0.2">
      <c r="A207" s="554"/>
      <c r="B207" s="539" t="s">
        <v>1089</v>
      </c>
      <c r="C207" s="502"/>
      <c r="D207" s="503"/>
      <c r="E207" s="1279"/>
      <c r="F207" s="504"/>
      <c r="H207" s="413" t="s">
        <v>825</v>
      </c>
      <c r="I207" s="414"/>
      <c r="K207" s="426"/>
      <c r="L207" s="442"/>
      <c r="M207" s="426"/>
      <c r="N207" s="426"/>
      <c r="O207" s="426"/>
      <c r="P207" s="426"/>
      <c r="Q207" s="426"/>
      <c r="R207" s="426"/>
      <c r="S207" s="426"/>
    </row>
    <row r="208" spans="1:19" ht="27.75" customHeight="1" x14ac:dyDescent="0.2">
      <c r="A208" s="554"/>
      <c r="B208" s="347"/>
      <c r="C208" s="1275" t="s">
        <v>271</v>
      </c>
      <c r="D208" s="1295" t="str">
        <f>IF($D$17="dragende wanden",0,IF(D195="x","y","x"))</f>
        <v>y</v>
      </c>
      <c r="E208" s="1296" t="s">
        <v>569</v>
      </c>
      <c r="F208" s="1297"/>
      <c r="H208" s="534"/>
      <c r="I208" s="366"/>
      <c r="K208" s="438"/>
      <c r="L208" s="530"/>
      <c r="M208" s="438"/>
      <c r="N208" s="426"/>
      <c r="O208" s="426"/>
      <c r="P208" s="426"/>
      <c r="Q208" s="426"/>
      <c r="R208" s="426"/>
      <c r="S208" s="426"/>
    </row>
    <row r="209" spans="1:19" ht="18" customHeight="1" x14ac:dyDescent="0.2">
      <c r="A209" s="554"/>
      <c r="B209" s="353"/>
      <c r="C209" s="493" t="s">
        <v>375</v>
      </c>
      <c r="D209" s="860">
        <f>IF($D$17="dragende wanden",0,IF(D208="x",$F$13,$F$14))</f>
        <v>3.7</v>
      </c>
      <c r="E209" s="360" t="s">
        <v>17</v>
      </c>
      <c r="F209" s="861"/>
      <c r="H209" s="534"/>
      <c r="I209" s="366"/>
    </row>
    <row r="210" spans="1:19" ht="18" customHeight="1" x14ac:dyDescent="0.2">
      <c r="A210" s="554"/>
      <c r="B210" s="353"/>
      <c r="C210" s="1373" t="s">
        <v>892</v>
      </c>
      <c r="D210" s="862" t="s">
        <v>25</v>
      </c>
      <c r="E210" s="360"/>
      <c r="F210" s="861"/>
      <c r="G210" s="850"/>
      <c r="H210" s="545"/>
      <c r="I210" s="366"/>
      <c r="J210" s="360"/>
      <c r="K210" s="359"/>
      <c r="L210" s="359"/>
      <c r="M210" s="359"/>
      <c r="N210" s="359"/>
      <c r="O210" s="359"/>
      <c r="P210" s="359"/>
      <c r="Q210" s="359"/>
      <c r="R210" s="359"/>
      <c r="S210" s="359"/>
    </row>
    <row r="211" spans="1:19" ht="18" customHeight="1" x14ac:dyDescent="0.2">
      <c r="A211" s="554"/>
      <c r="B211" s="353"/>
      <c r="C211" s="493" t="s">
        <v>567</v>
      </c>
      <c r="D211" s="862">
        <v>1</v>
      </c>
      <c r="E211" s="360"/>
      <c r="F211" s="439"/>
      <c r="G211" s="850"/>
      <c r="H211" s="545"/>
      <c r="I211" s="366"/>
      <c r="K211" s="426"/>
      <c r="L211" s="426"/>
      <c r="M211" s="426"/>
      <c r="N211" s="426"/>
      <c r="O211" s="426"/>
      <c r="P211" s="426"/>
      <c r="Q211" s="426"/>
      <c r="R211" s="426"/>
      <c r="S211" s="426"/>
    </row>
    <row r="212" spans="1:19" ht="18" customHeight="1" x14ac:dyDescent="0.2">
      <c r="A212" s="554"/>
      <c r="B212" s="353"/>
      <c r="C212" s="430" t="str">
        <f>IF(OR($D212="gewalst staal S235",$D212="gewalst staal S355",$D212="gewalst staal S460"),"materiaalkeuze en voorkeursprofiel","materiaalkeuze")</f>
        <v>materiaalkeuze</v>
      </c>
      <c r="D212" s="862" t="s">
        <v>376</v>
      </c>
      <c r="E212" s="1294" t="s">
        <v>868</v>
      </c>
      <c r="F212" s="1298">
        <f>IF($D$17="dragende wanden","",'04_LIGGERS'!I56)</f>
        <v>0</v>
      </c>
      <c r="G212" s="850"/>
      <c r="H212" s="545"/>
      <c r="I212" s="366"/>
      <c r="J212" s="359"/>
    </row>
    <row r="213" spans="1:19" ht="15" customHeight="1" x14ac:dyDescent="0.2">
      <c r="A213" s="1339"/>
      <c r="B213" s="1312"/>
      <c r="C213" s="1313" t="s">
        <v>88</v>
      </c>
      <c r="D213" s="1335">
        <f>IF($D$17="dragende wanden",0,IF(D212="prefab beton",'04_LIGGERS'!$J$56,0))</f>
        <v>0</v>
      </c>
      <c r="E213" s="1315" t="s">
        <v>889</v>
      </c>
      <c r="F213" s="1319"/>
      <c r="G213" s="1341"/>
      <c r="H213" s="1342">
        <f t="shared" ref="H213:H219" si="8">D213*$F$47/$F$51</f>
        <v>0</v>
      </c>
      <c r="I213" s="1319" t="s">
        <v>826</v>
      </c>
    </row>
    <row r="214" spans="1:19" ht="15" customHeight="1" x14ac:dyDescent="0.2">
      <c r="A214" s="1339"/>
      <c r="B214" s="1312"/>
      <c r="C214" s="1313" t="s">
        <v>617</v>
      </c>
      <c r="D214" s="1335">
        <f>IF($D$17="dragende wanden",0,IF(D212="ihwg beton",'04_LIGGERS'!$J$56,0))</f>
        <v>0</v>
      </c>
      <c r="E214" s="1315" t="s">
        <v>889</v>
      </c>
      <c r="F214" s="1319"/>
      <c r="G214" s="1341"/>
      <c r="H214" s="1342">
        <f t="shared" si="8"/>
        <v>0</v>
      </c>
      <c r="I214" s="1319" t="s">
        <v>826</v>
      </c>
    </row>
    <row r="215" spans="1:19" ht="15" customHeight="1" x14ac:dyDescent="0.2">
      <c r="A215" s="1343"/>
      <c r="B215" s="1312"/>
      <c r="C215" s="1313" t="s">
        <v>91</v>
      </c>
      <c r="D215" s="1335">
        <f>IF($D$17="dragende wanden",0,IF(AND(OR(D212="prefab beton",D212="ihwg beton"),D210="ja"),'04_LIGGERS'!AA69,0))</f>
        <v>0</v>
      </c>
      <c r="E215" s="1315" t="s">
        <v>889</v>
      </c>
      <c r="F215" s="1319"/>
      <c r="G215" s="1341"/>
      <c r="H215" s="1342">
        <f t="shared" si="8"/>
        <v>0</v>
      </c>
      <c r="I215" s="1319" t="s">
        <v>826</v>
      </c>
    </row>
    <row r="216" spans="1:19" ht="15" customHeight="1" x14ac:dyDescent="0.2">
      <c r="A216" s="1343"/>
      <c r="B216" s="1312"/>
      <c r="C216" s="1313" t="s">
        <v>376</v>
      </c>
      <c r="D216" s="1335">
        <f>IF($D$17="dragende wanden",0,IF(D212="gelamineerd hout",'04_LIGGERS'!$J$56,0))</f>
        <v>0</v>
      </c>
      <c r="E216" s="1315" t="s">
        <v>889</v>
      </c>
      <c r="F216" s="1319"/>
      <c r="G216" s="1341"/>
      <c r="H216" s="1342">
        <f t="shared" si="8"/>
        <v>0</v>
      </c>
      <c r="I216" s="1319" t="s">
        <v>826</v>
      </c>
    </row>
    <row r="217" spans="1:19" ht="15" customHeight="1" x14ac:dyDescent="0.2">
      <c r="A217" s="1339"/>
      <c r="B217" s="1312"/>
      <c r="C217" s="1315" t="s">
        <v>216</v>
      </c>
      <c r="D217" s="1335">
        <f>IF($D$17="dragende wanden",0,IF(D212="gewalst staal S235",'04_LIGGERS'!$J$56,0))</f>
        <v>0</v>
      </c>
      <c r="E217" s="1315" t="s">
        <v>889</v>
      </c>
      <c r="F217" s="1332"/>
      <c r="G217" s="1341"/>
      <c r="H217" s="1342">
        <f t="shared" si="8"/>
        <v>0</v>
      </c>
      <c r="I217" s="1319" t="s">
        <v>826</v>
      </c>
    </row>
    <row r="218" spans="1:19" ht="15" customHeight="1" x14ac:dyDescent="0.2">
      <c r="A218" s="1339"/>
      <c r="B218" s="1312"/>
      <c r="C218" s="1315" t="s">
        <v>217</v>
      </c>
      <c r="D218" s="1335">
        <f>IF($D$17="dragende wanden",0,IF(D212="gewalst staal S355",'04_LIGGERS'!$J$56,IF(D212="stalen vakwerk",'04_LIGGERS'!$J$56,0)))</f>
        <v>0</v>
      </c>
      <c r="E218" s="1315" t="s">
        <v>889</v>
      </c>
      <c r="F218" s="1332"/>
      <c r="G218" s="1341"/>
      <c r="H218" s="1342">
        <f t="shared" si="8"/>
        <v>0</v>
      </c>
      <c r="I218" s="1319" t="s">
        <v>826</v>
      </c>
    </row>
    <row r="219" spans="1:19" ht="15" customHeight="1" x14ac:dyDescent="0.2">
      <c r="A219" s="1345"/>
      <c r="B219" s="1324"/>
      <c r="C219" s="1325" t="s">
        <v>766</v>
      </c>
      <c r="D219" s="1347">
        <f>IF($D$17="dragende wanden",0,IF(D212="gewalst staal S460",'04_LIGGERS'!$J$56,0))</f>
        <v>0</v>
      </c>
      <c r="E219" s="1325" t="s">
        <v>889</v>
      </c>
      <c r="F219" s="1357"/>
      <c r="G219" s="1341"/>
      <c r="H219" s="1349">
        <f t="shared" si="8"/>
        <v>0</v>
      </c>
      <c r="I219" s="1326" t="s">
        <v>826</v>
      </c>
    </row>
    <row r="220" spans="1:19" ht="18" customHeight="1" x14ac:dyDescent="0.2">
      <c r="G220" s="360"/>
      <c r="H220" s="545"/>
      <c r="I220" s="500"/>
    </row>
    <row r="221" spans="1:19" ht="18" customHeight="1" x14ac:dyDescent="0.2">
      <c r="A221" s="560"/>
      <c r="B221" s="561" t="s">
        <v>1090</v>
      </c>
      <c r="C221" s="539"/>
      <c r="D221" s="539"/>
      <c r="E221" s="1283"/>
      <c r="F221" s="541"/>
      <c r="H221" s="413" t="s">
        <v>825</v>
      </c>
      <c r="I221" s="414"/>
    </row>
    <row r="222" spans="1:19" ht="18" customHeight="1" x14ac:dyDescent="0.2">
      <c r="A222" s="562"/>
      <c r="B222" s="563"/>
      <c r="C222" s="564" t="s">
        <v>218</v>
      </c>
      <c r="D222" s="565" t="str">
        <f>IF(D17="dragende wanden","dragende wanden","(on)geschoord skelet")</f>
        <v>(on)geschoord skelet</v>
      </c>
      <c r="E222" s="566" t="str">
        <f>IF(D17="(on)geschoord skelet",IF(OR(D19="ongeschoord skelet",D21="ongeschoord skelet"),"ongeschoord skelet","geschoord skelet"),0)</f>
        <v>geschoord skelet</v>
      </c>
      <c r="F222" s="567"/>
      <c r="H222" s="1620"/>
      <c r="I222" s="351"/>
    </row>
    <row r="223" spans="1:19" ht="18" customHeight="1" x14ac:dyDescent="0.2">
      <c r="A223" s="562"/>
      <c r="B223" s="353"/>
      <c r="C223" s="430" t="s">
        <v>210</v>
      </c>
      <c r="D223" s="342">
        <f>D89</f>
        <v>3.7</v>
      </c>
      <c r="E223" s="359"/>
      <c r="F223" s="435"/>
      <c r="H223" s="534"/>
      <c r="I223" s="366"/>
    </row>
    <row r="224" spans="1:19" ht="18" customHeight="1" x14ac:dyDescent="0.2">
      <c r="A224" s="562"/>
      <c r="B224" s="353"/>
      <c r="C224" s="362" t="s">
        <v>213</v>
      </c>
      <c r="D224" s="343">
        <f>$F$55</f>
        <v>120</v>
      </c>
      <c r="E224" s="360"/>
      <c r="F224" s="435"/>
      <c r="H224" s="534"/>
      <c r="I224" s="366"/>
    </row>
    <row r="225" spans="1:62" ht="18" customHeight="1" x14ac:dyDescent="0.2">
      <c r="A225" s="562"/>
      <c r="B225" s="353"/>
      <c r="C225" s="430" t="s">
        <v>955</v>
      </c>
      <c r="D225" s="342" t="str">
        <f>IF(D222="dragende wanden",F17,"")</f>
        <v/>
      </c>
      <c r="E225" s="1487" t="str">
        <f>IF(D225="","",VLOOKUP(D225,KEUZELIJSTEN!$J$43:$K$55,2,0))</f>
        <v/>
      </c>
      <c r="F225" s="1298" t="str">
        <f>IF(D225="","",CONCATENATE("d = ",'05_VERT DRAAGSTRUCTUUR'!C81))</f>
        <v/>
      </c>
      <c r="H225" s="534"/>
      <c r="I225" s="366"/>
    </row>
    <row r="226" spans="1:62" ht="18" customHeight="1" x14ac:dyDescent="0.2">
      <c r="A226" s="562"/>
      <c r="C226" s="430" t="s">
        <v>954</v>
      </c>
      <c r="D226" s="862" t="s">
        <v>88</v>
      </c>
      <c r="E226" s="1294" t="s">
        <v>870</v>
      </c>
      <c r="F226" s="1487" t="str">
        <f>IF(D222="dragende wanden","",VLOOKUP(D226,KEUZELIJSTEN!J44:K55,2,0))</f>
        <v>C53/65</v>
      </c>
      <c r="G226" s="850"/>
      <c r="H226" s="534"/>
      <c r="I226" s="366"/>
    </row>
    <row r="227" spans="1:62" ht="18" customHeight="1" x14ac:dyDescent="0.2">
      <c r="A227" s="1826"/>
      <c r="C227" s="1414" t="s">
        <v>1233</v>
      </c>
      <c r="D227" s="1828" t="s">
        <v>1255</v>
      </c>
      <c r="E227" s="1827" t="str">
        <f>IF(D227="geen/transport","selecteer deze keuze alleen in overleg met een constructeur!","")</f>
        <v/>
      </c>
    </row>
    <row r="228" spans="1:62" ht="18" customHeight="1" x14ac:dyDescent="0.2">
      <c r="A228" s="562"/>
      <c r="B228" s="353"/>
      <c r="C228" s="362" t="s">
        <v>370</v>
      </c>
      <c r="D228" s="343">
        <f>IF(D222="(on)geschoord skelet",D107,0)</f>
        <v>10</v>
      </c>
      <c r="E228" s="1274"/>
      <c r="F228" s="568" t="str">
        <f>IF(OR(D226="prefab beton",D226="ihwg beton"),'05_VERT DRAAGSTRUCTUUR'!C56,IF(OR(D226="gewalst staal S235",D226="gewalst staal S355",D226="gewalst staal S460"),'05_VERT DRAAGSTRUCTUUR'!C57,IF(OR(D226="gelamineerd hout",D226="naaldhout"),'05_VERT DRAAGSTRUCTUUR'!C58)))</f>
        <v>350x350</v>
      </c>
      <c r="H228" s="534"/>
      <c r="I228" s="366"/>
    </row>
    <row r="229" spans="1:62" s="1320" customFormat="1" ht="15" customHeight="1" x14ac:dyDescent="0.2">
      <c r="A229" s="1331"/>
      <c r="B229" s="1312"/>
      <c r="C229" s="1315" t="s">
        <v>490</v>
      </c>
      <c r="D229" s="1314">
        <f>IF(AND(D17="dragende wanden",OR(D225="kzs std kwaliteit",D225="kzs klinker kwaliteit",D225="kzs hoogbouw kwaliteit")),VLOOKUP(D225,'05_VERT DRAAGSTRUCTUUR'!B83:D85,2,0),0)</f>
        <v>0</v>
      </c>
      <c r="E229" s="1315" t="s">
        <v>826</v>
      </c>
      <c r="F229" s="1799"/>
      <c r="G229" s="1317"/>
      <c r="H229" s="1333">
        <f>D229</f>
        <v>0</v>
      </c>
      <c r="I229" s="1319" t="s">
        <v>826</v>
      </c>
      <c r="K229" s="1321"/>
      <c r="L229" s="1321"/>
      <c r="M229" s="1321"/>
      <c r="N229" s="1321"/>
      <c r="O229" s="1321"/>
      <c r="P229" s="1321"/>
      <c r="Q229" s="1321"/>
      <c r="R229" s="1321"/>
      <c r="S229" s="1321"/>
      <c r="T229" s="1321"/>
      <c r="U229" s="1321"/>
      <c r="V229" s="1321"/>
      <c r="W229" s="1321"/>
      <c r="X229" s="1321"/>
      <c r="Y229" s="1321"/>
      <c r="Z229" s="1321"/>
      <c r="AA229" s="1321"/>
      <c r="AB229" s="1321"/>
      <c r="AC229" s="1321"/>
      <c r="AD229" s="1321"/>
      <c r="AE229" s="1321"/>
      <c r="AF229" s="1321"/>
      <c r="AG229" s="1321"/>
      <c r="AH229" s="1321"/>
      <c r="AI229" s="1321"/>
      <c r="AJ229" s="1321"/>
      <c r="AK229" s="1321"/>
      <c r="AL229" s="1321"/>
      <c r="AM229" s="1321"/>
      <c r="AN229" s="1321"/>
      <c r="AO229" s="1321"/>
      <c r="AP229" s="1321"/>
      <c r="AQ229" s="1321"/>
      <c r="AR229" s="1321"/>
      <c r="AS229" s="1321"/>
      <c r="AT229" s="1321"/>
      <c r="AU229" s="1321"/>
      <c r="AV229" s="1321"/>
      <c r="AW229" s="1321"/>
      <c r="AX229" s="1321"/>
      <c r="AY229" s="1321"/>
      <c r="AZ229" s="1321"/>
      <c r="BA229" s="1321"/>
      <c r="BB229" s="1321"/>
      <c r="BC229" s="1321"/>
      <c r="BD229" s="1321"/>
      <c r="BE229" s="1321"/>
      <c r="BF229" s="1321"/>
      <c r="BG229" s="1321"/>
      <c r="BH229" s="1321"/>
      <c r="BI229" s="1321"/>
      <c r="BJ229" s="1321"/>
    </row>
    <row r="230" spans="1:62" s="1320" customFormat="1" ht="15" customHeight="1" x14ac:dyDescent="0.2">
      <c r="A230" s="1331"/>
      <c r="B230" s="1312"/>
      <c r="C230" s="1313" t="s">
        <v>88</v>
      </c>
      <c r="D230" s="1314">
        <f>IF($E$222="geschoord skelet",VLOOKUP(C230,'05_VERT DRAAGSTRUCTUUR'!$B$61:$D$68,2,0),IF($E$222="ongeschoord skelet",VLOOKUP(C230,'05_VERT DRAAGSTRUCTUUR'!$B$70:$D$77,2,0),IF('01_ALGEMEEN'!$D$222="dragende wanden",VLOOKUP(C230,'05_VERT DRAAGSTRUCTUUR'!$B$83:$D$90,2,0),0)))</f>
        <v>52.42903661833374</v>
      </c>
      <c r="E230" s="1315" t="s">
        <v>826</v>
      </c>
      <c r="F230" s="1334"/>
      <c r="G230" s="1317"/>
      <c r="H230" s="1333">
        <f>D230</f>
        <v>52.42903661833374</v>
      </c>
      <c r="I230" s="1319" t="s">
        <v>826</v>
      </c>
      <c r="J230" s="1315"/>
      <c r="K230" s="1321"/>
      <c r="L230" s="1321"/>
      <c r="M230" s="1321"/>
      <c r="N230" s="1321"/>
      <c r="O230" s="1321"/>
      <c r="P230" s="1321"/>
      <c r="Q230" s="1321"/>
      <c r="R230" s="1321"/>
      <c r="S230" s="1321"/>
      <c r="T230" s="1321"/>
      <c r="U230" s="1321"/>
      <c r="V230" s="1321"/>
      <c r="W230" s="1321"/>
      <c r="X230" s="1321"/>
      <c r="Y230" s="1321"/>
      <c r="Z230" s="1321"/>
      <c r="AA230" s="1321"/>
      <c r="AB230" s="1321"/>
      <c r="AC230" s="1321"/>
      <c r="AD230" s="1321"/>
      <c r="AE230" s="1321"/>
      <c r="AF230" s="1321"/>
      <c r="AG230" s="1321"/>
      <c r="AH230" s="1321"/>
      <c r="AI230" s="1321"/>
      <c r="AJ230" s="1321"/>
      <c r="AK230" s="1321"/>
      <c r="AL230" s="1321"/>
      <c r="AM230" s="1321"/>
      <c r="AN230" s="1321"/>
      <c r="AO230" s="1321"/>
      <c r="AP230" s="1321"/>
      <c r="AQ230" s="1321"/>
      <c r="AR230" s="1321"/>
      <c r="AS230" s="1321"/>
      <c r="AT230" s="1321"/>
      <c r="AU230" s="1321"/>
      <c r="AV230" s="1321"/>
      <c r="AW230" s="1321"/>
      <c r="AX230" s="1321"/>
      <c r="AY230" s="1321"/>
      <c r="AZ230" s="1321"/>
      <c r="BA230" s="1321"/>
      <c r="BB230" s="1321"/>
      <c r="BC230" s="1321"/>
      <c r="BD230" s="1321"/>
      <c r="BE230" s="1321"/>
      <c r="BF230" s="1321"/>
      <c r="BG230" s="1321"/>
      <c r="BH230" s="1321"/>
      <c r="BI230" s="1321"/>
      <c r="BJ230" s="1321"/>
    </row>
    <row r="231" spans="1:62" s="1320" customFormat="1" ht="15" customHeight="1" x14ac:dyDescent="0.2">
      <c r="A231" s="1331"/>
      <c r="B231" s="1312"/>
      <c r="C231" s="1313" t="s">
        <v>617</v>
      </c>
      <c r="D231" s="1314">
        <f>IF($E$222="geschoord skelet",VLOOKUP(C231,'05_VERT DRAAGSTRUCTUUR'!$B$61:$D$68,2,0),IF($E$222="ongeschoord skelet",VLOOKUP(C231,'05_VERT DRAAGSTRUCTUUR'!$B$70:$D$77,2,0),IF('01_ALGEMEEN'!$D$222="dragende wanden",VLOOKUP(C231,'05_VERT DRAAGSTRUCTUUR'!$B$83:$D$90,2,0),0)))</f>
        <v>0</v>
      </c>
      <c r="E231" s="1315" t="s">
        <v>826</v>
      </c>
      <c r="F231" s="1334"/>
      <c r="G231" s="1317"/>
      <c r="H231" s="1333">
        <f>D231</f>
        <v>0</v>
      </c>
      <c r="I231" s="1319" t="s">
        <v>826</v>
      </c>
      <c r="K231" s="1321"/>
      <c r="L231" s="1321"/>
      <c r="M231" s="1321"/>
      <c r="N231" s="1321"/>
      <c r="O231" s="1321"/>
      <c r="P231" s="1321"/>
      <c r="Q231" s="1321"/>
      <c r="R231" s="1321"/>
      <c r="S231" s="1321"/>
      <c r="T231" s="1321"/>
      <c r="U231" s="1321"/>
      <c r="V231" s="1321"/>
      <c r="W231" s="1321"/>
      <c r="X231" s="1321"/>
      <c r="Y231" s="1321"/>
      <c r="Z231" s="1321"/>
      <c r="AA231" s="1321"/>
      <c r="AB231" s="1321"/>
      <c r="AC231" s="1321"/>
      <c r="AD231" s="1321"/>
      <c r="AE231" s="1321"/>
      <c r="AF231" s="1321"/>
      <c r="AG231" s="1321"/>
      <c r="AH231" s="1321"/>
      <c r="AI231" s="1321"/>
      <c r="AJ231" s="1321"/>
      <c r="AK231" s="1321"/>
      <c r="AL231" s="1321"/>
      <c r="AM231" s="1321"/>
      <c r="AN231" s="1321"/>
      <c r="AO231" s="1321"/>
      <c r="AP231" s="1321"/>
      <c r="AQ231" s="1321"/>
      <c r="AR231" s="1321"/>
      <c r="AS231" s="1321"/>
      <c r="AT231" s="1321"/>
      <c r="AU231" s="1321"/>
      <c r="AV231" s="1321"/>
      <c r="AW231" s="1321"/>
      <c r="AX231" s="1321"/>
      <c r="AY231" s="1321"/>
      <c r="AZ231" s="1321"/>
      <c r="BA231" s="1321"/>
      <c r="BB231" s="1321"/>
      <c r="BC231" s="1321"/>
      <c r="BD231" s="1321"/>
      <c r="BE231" s="1321"/>
      <c r="BF231" s="1321"/>
      <c r="BG231" s="1321"/>
      <c r="BH231" s="1321"/>
      <c r="BI231" s="1321"/>
      <c r="BJ231" s="1321"/>
    </row>
    <row r="232" spans="1:62" s="1320" customFormat="1" ht="15" customHeight="1" x14ac:dyDescent="0.2">
      <c r="A232" s="1331"/>
      <c r="B232" s="1322"/>
      <c r="C232" s="1313" t="s">
        <v>91</v>
      </c>
      <c r="D232" s="1314">
        <f>IF($E$222="geschoord skelet",VLOOKUP(C232,'05_VERT DRAAGSTRUCTUUR'!$B$61:$D$68,2,0),IF($E$222="ongeschoord skelet",VLOOKUP(C232,'05_VERT DRAAGSTRUCTUUR'!$B$70:$D$77,2,0),IF('01_ALGEMEEN'!$D$222="dragende wanden",VLOOKUP(C232,'05_VERT DRAAGSTRUCTUUR'!$B$83:$D$90,2,0),0)))</f>
        <v>2.5819562073050624</v>
      </c>
      <c r="E232" s="1315" t="s">
        <v>826</v>
      </c>
      <c r="F232" s="1319"/>
      <c r="G232" s="1317"/>
      <c r="H232" s="1333">
        <f t="shared" ref="H232:H238" si="9">D232</f>
        <v>2.5819562073050624</v>
      </c>
      <c r="I232" s="1319" t="s">
        <v>826</v>
      </c>
      <c r="K232" s="1321"/>
      <c r="L232" s="1321"/>
      <c r="M232" s="1321"/>
      <c r="N232" s="1321"/>
      <c r="O232" s="1321"/>
      <c r="P232" s="1321"/>
      <c r="Q232" s="1321"/>
      <c r="R232" s="1321"/>
      <c r="S232" s="1321"/>
      <c r="T232" s="1321"/>
      <c r="U232" s="1321"/>
      <c r="V232" s="1321"/>
      <c r="W232" s="1321"/>
      <c r="X232" s="1321"/>
      <c r="Y232" s="1321"/>
      <c r="Z232" s="1321"/>
      <c r="AA232" s="1321"/>
      <c r="AB232" s="1321"/>
      <c r="AC232" s="1321"/>
      <c r="AD232" s="1321"/>
      <c r="AE232" s="1321"/>
      <c r="AF232" s="1321"/>
      <c r="AG232" s="1321"/>
      <c r="AH232" s="1321"/>
      <c r="AI232" s="1321"/>
      <c r="AJ232" s="1321"/>
      <c r="AK232" s="1321"/>
      <c r="AL232" s="1321"/>
      <c r="AM232" s="1321"/>
      <c r="AN232" s="1321"/>
      <c r="AO232" s="1321"/>
      <c r="AP232" s="1321"/>
      <c r="AQ232" s="1321"/>
      <c r="AR232" s="1321"/>
      <c r="AS232" s="1321"/>
      <c r="AT232" s="1321"/>
      <c r="AU232" s="1321"/>
      <c r="AV232" s="1321"/>
      <c r="AW232" s="1321"/>
      <c r="AX232" s="1321"/>
      <c r="AY232" s="1321"/>
      <c r="AZ232" s="1321"/>
      <c r="BA232" s="1321"/>
      <c r="BB232" s="1321"/>
      <c r="BC232" s="1321"/>
      <c r="BD232" s="1321"/>
      <c r="BE232" s="1321"/>
      <c r="BF232" s="1321"/>
      <c r="BG232" s="1321"/>
      <c r="BH232" s="1321"/>
      <c r="BI232" s="1321"/>
      <c r="BJ232" s="1321"/>
    </row>
    <row r="233" spans="1:62" s="1320" customFormat="1" ht="15" customHeight="1" x14ac:dyDescent="0.2">
      <c r="A233" s="1331"/>
      <c r="B233" s="1312"/>
      <c r="C233" s="1315" t="s">
        <v>368</v>
      </c>
      <c r="D233" s="1335">
        <f>IF(D17&lt;&gt;"dragende wanden",IF(E222="geschoord skelet",'05_VERT DRAAGSTRUCTUUR'!C67,IF(E222="ongeschoord skelet",'05_VERT DRAAGSTRUCTUUR'!C76)),IF(D225&lt;&gt;"houtskeletbouw",0,'05_VERT DRAAGSTRUCTUUR'!C89))</f>
        <v>0</v>
      </c>
      <c r="E233" s="1315" t="s">
        <v>826</v>
      </c>
      <c r="F233" s="1319"/>
      <c r="G233" s="1317"/>
      <c r="H233" s="1333">
        <f t="shared" si="9"/>
        <v>0</v>
      </c>
      <c r="I233" s="1319" t="s">
        <v>826</v>
      </c>
      <c r="K233" s="1321"/>
      <c r="L233" s="1321"/>
      <c r="M233" s="1321"/>
      <c r="N233" s="1321"/>
      <c r="O233" s="1321"/>
      <c r="P233" s="1321"/>
      <c r="Q233" s="1321"/>
      <c r="R233" s="1321"/>
      <c r="S233" s="1321"/>
      <c r="T233" s="1321"/>
      <c r="U233" s="1321"/>
      <c r="V233" s="1321"/>
      <c r="W233" s="1321"/>
      <c r="X233" s="1321"/>
      <c r="Y233" s="1321"/>
      <c r="Z233" s="1321"/>
      <c r="AA233" s="1321"/>
      <c r="AB233" s="1321"/>
      <c r="AC233" s="1321"/>
      <c r="AD233" s="1321"/>
      <c r="AE233" s="1321"/>
      <c r="AF233" s="1321"/>
      <c r="AG233" s="1321"/>
      <c r="AH233" s="1321"/>
      <c r="AI233" s="1321"/>
      <c r="AJ233" s="1321"/>
      <c r="AK233" s="1321"/>
      <c r="AL233" s="1321"/>
      <c r="AM233" s="1321"/>
      <c r="AN233" s="1321"/>
      <c r="AO233" s="1321"/>
      <c r="AP233" s="1321"/>
      <c r="AQ233" s="1321"/>
      <c r="AR233" s="1321"/>
      <c r="AS233" s="1321"/>
      <c r="AT233" s="1321"/>
      <c r="AU233" s="1321"/>
      <c r="AV233" s="1321"/>
      <c r="AW233" s="1321"/>
      <c r="AX233" s="1321"/>
      <c r="AY233" s="1321"/>
      <c r="AZ233" s="1321"/>
      <c r="BA233" s="1321"/>
      <c r="BB233" s="1321"/>
      <c r="BC233" s="1321"/>
      <c r="BD233" s="1321"/>
      <c r="BE233" s="1321"/>
      <c r="BF233" s="1321"/>
      <c r="BG233" s="1321"/>
      <c r="BH233" s="1321"/>
      <c r="BI233" s="1321"/>
      <c r="BJ233" s="1321"/>
    </row>
    <row r="234" spans="1:62" s="1320" customFormat="1" ht="15" customHeight="1" x14ac:dyDescent="0.2">
      <c r="A234" s="1331"/>
      <c r="B234" s="1312"/>
      <c r="C234" s="1315" t="s">
        <v>376</v>
      </c>
      <c r="D234" s="1335">
        <f>IF(E222="geschoord skelet",VLOOKUP("gelamineerd hout",'05_VERT DRAAGSTRUCTUUR'!B61:D68,2,0),IF(E222="ongeschoord skelet",VLOOKUP("gelamineerd hout",'05_VERT DRAAGSTRUCTUUR'!B70:D77,2,0),0))</f>
        <v>0</v>
      </c>
      <c r="E234" s="1315" t="s">
        <v>826</v>
      </c>
      <c r="F234" s="1319"/>
      <c r="G234" s="1317"/>
      <c r="H234" s="1333">
        <f t="shared" si="9"/>
        <v>0</v>
      </c>
      <c r="I234" s="1319" t="s">
        <v>826</v>
      </c>
      <c r="K234" s="1321"/>
      <c r="L234" s="1321"/>
      <c r="M234" s="1321"/>
      <c r="N234" s="1321"/>
      <c r="O234" s="1321"/>
      <c r="P234" s="1321"/>
      <c r="Q234" s="1321"/>
      <c r="R234" s="1321"/>
      <c r="S234" s="1321"/>
      <c r="T234" s="1321"/>
      <c r="U234" s="1321"/>
      <c r="V234" s="1321"/>
      <c r="W234" s="1321"/>
      <c r="X234" s="1321"/>
      <c r="Y234" s="1321"/>
      <c r="Z234" s="1321"/>
      <c r="AA234" s="1321"/>
      <c r="AB234" s="1321"/>
      <c r="AC234" s="1321"/>
      <c r="AD234" s="1321"/>
      <c r="AE234" s="1321"/>
      <c r="AF234" s="1321"/>
      <c r="AG234" s="1321"/>
      <c r="AH234" s="1321"/>
      <c r="AI234" s="1321"/>
      <c r="AJ234" s="1321"/>
      <c r="AK234" s="1321"/>
      <c r="AL234" s="1321"/>
      <c r="AM234" s="1321"/>
      <c r="AN234" s="1321"/>
      <c r="AO234" s="1321"/>
      <c r="AP234" s="1321"/>
      <c r="AQ234" s="1321"/>
      <c r="AR234" s="1321"/>
      <c r="AS234" s="1321"/>
      <c r="AT234" s="1321"/>
      <c r="AU234" s="1321"/>
      <c r="AV234" s="1321"/>
      <c r="AW234" s="1321"/>
      <c r="AX234" s="1321"/>
      <c r="AY234" s="1321"/>
      <c r="AZ234" s="1321"/>
      <c r="BA234" s="1321"/>
      <c r="BB234" s="1321"/>
      <c r="BC234" s="1321"/>
      <c r="BD234" s="1321"/>
      <c r="BE234" s="1321"/>
      <c r="BF234" s="1321"/>
      <c r="BG234" s="1321"/>
      <c r="BH234" s="1321"/>
      <c r="BI234" s="1321"/>
      <c r="BJ234" s="1321"/>
    </row>
    <row r="235" spans="1:62" s="1320" customFormat="1" ht="15" customHeight="1" x14ac:dyDescent="0.2">
      <c r="A235" s="1331"/>
      <c r="B235" s="1312"/>
      <c r="C235" s="1315" t="s">
        <v>378</v>
      </c>
      <c r="D235" s="1314">
        <f>IF(AND(D225="houtskeletbouw",D222="dragende wanden"),VLOOKUP(C235,'05_VERT DRAAGSTRUCTUUR'!B83:D90,2,0),0)</f>
        <v>0</v>
      </c>
      <c r="E235" s="1315" t="s">
        <v>826</v>
      </c>
      <c r="F235" s="1319"/>
      <c r="G235" s="1317"/>
      <c r="H235" s="1333">
        <f t="shared" si="9"/>
        <v>0</v>
      </c>
      <c r="I235" s="1319" t="s">
        <v>826</v>
      </c>
      <c r="K235" s="1321"/>
      <c r="L235" s="1321"/>
      <c r="M235" s="1321"/>
      <c r="N235" s="1321"/>
      <c r="O235" s="1321"/>
      <c r="P235" s="1321"/>
      <c r="Q235" s="1321"/>
      <c r="R235" s="1321"/>
      <c r="S235" s="1321"/>
      <c r="T235" s="1321"/>
      <c r="U235" s="1321"/>
      <c r="V235" s="1321"/>
      <c r="W235" s="1321"/>
      <c r="X235" s="1321"/>
      <c r="Y235" s="1321"/>
      <c r="Z235" s="1321"/>
      <c r="AA235" s="1321"/>
      <c r="AB235" s="1321"/>
      <c r="AC235" s="1321"/>
      <c r="AD235" s="1321"/>
      <c r="AE235" s="1321"/>
      <c r="AF235" s="1321"/>
      <c r="AG235" s="1321"/>
      <c r="AH235" s="1321"/>
      <c r="AI235" s="1321"/>
      <c r="AJ235" s="1321"/>
      <c r="AK235" s="1321"/>
      <c r="AL235" s="1321"/>
      <c r="AM235" s="1321"/>
      <c r="AN235" s="1321"/>
      <c r="AO235" s="1321"/>
      <c r="AP235" s="1321"/>
      <c r="AQ235" s="1321"/>
      <c r="AR235" s="1321"/>
      <c r="AS235" s="1321"/>
      <c r="AT235" s="1321"/>
      <c r="AU235" s="1321"/>
      <c r="AV235" s="1321"/>
      <c r="AW235" s="1321"/>
      <c r="AX235" s="1321"/>
      <c r="AY235" s="1321"/>
      <c r="AZ235" s="1321"/>
      <c r="BA235" s="1321"/>
      <c r="BB235" s="1321"/>
      <c r="BC235" s="1321"/>
      <c r="BD235" s="1321"/>
      <c r="BE235" s="1321"/>
      <c r="BF235" s="1321"/>
      <c r="BG235" s="1321"/>
      <c r="BH235" s="1321"/>
      <c r="BI235" s="1321"/>
      <c r="BJ235" s="1321"/>
    </row>
    <row r="236" spans="1:62" s="1320" customFormat="1" ht="15" customHeight="1" x14ac:dyDescent="0.2">
      <c r="A236" s="1331"/>
      <c r="B236" s="1312"/>
      <c r="C236" s="1315" t="s">
        <v>216</v>
      </c>
      <c r="D236" s="1314">
        <f>IF(E222="geschoord skelet",VLOOKUP("gewalst staal S235",'05_VERT DRAAGSTRUCTUUR'!B61:D68,2,0),IF(E222="ongeschoord skelet",VLOOKUP("gewalst staal S235",'05_VERT DRAAGSTRUCTUUR'!B70:D77,2,0),0))</f>
        <v>0</v>
      </c>
      <c r="E236" s="1315" t="s">
        <v>826</v>
      </c>
      <c r="F236" s="1319"/>
      <c r="G236" s="1317"/>
      <c r="H236" s="1333">
        <f>D236</f>
        <v>0</v>
      </c>
      <c r="I236" s="1319" t="s">
        <v>826</v>
      </c>
      <c r="K236" s="1321"/>
      <c r="L236" s="1321"/>
      <c r="M236" s="1321"/>
      <c r="N236" s="1321"/>
      <c r="O236" s="1321"/>
      <c r="P236" s="1321"/>
      <c r="Q236" s="1321"/>
      <c r="R236" s="1321"/>
      <c r="S236" s="1321"/>
      <c r="T236" s="1321"/>
      <c r="U236" s="1321"/>
      <c r="V236" s="1321"/>
      <c r="W236" s="1321"/>
      <c r="X236" s="1321"/>
      <c r="Y236" s="1321"/>
      <c r="Z236" s="1321"/>
      <c r="AA236" s="1321"/>
      <c r="AB236" s="1321"/>
      <c r="AC236" s="1321"/>
      <c r="AD236" s="1321"/>
      <c r="AE236" s="1321"/>
      <c r="AF236" s="1321"/>
      <c r="AG236" s="1321"/>
      <c r="AH236" s="1321"/>
      <c r="AI236" s="1321"/>
      <c r="AJ236" s="1321"/>
      <c r="AK236" s="1321"/>
      <c r="AL236" s="1321"/>
      <c r="AM236" s="1321"/>
      <c r="AN236" s="1321"/>
      <c r="AO236" s="1321"/>
      <c r="AP236" s="1321"/>
      <c r="AQ236" s="1321"/>
      <c r="AR236" s="1321"/>
      <c r="AS236" s="1321"/>
      <c r="AT236" s="1321"/>
      <c r="AU236" s="1321"/>
      <c r="AV236" s="1321"/>
      <c r="AW236" s="1321"/>
      <c r="AX236" s="1321"/>
      <c r="AY236" s="1321"/>
      <c r="AZ236" s="1321"/>
      <c r="BA236" s="1321"/>
      <c r="BB236" s="1321"/>
      <c r="BC236" s="1321"/>
      <c r="BD236" s="1321"/>
      <c r="BE236" s="1321"/>
      <c r="BF236" s="1321"/>
      <c r="BG236" s="1321"/>
      <c r="BH236" s="1321"/>
      <c r="BI236" s="1321"/>
      <c r="BJ236" s="1321"/>
    </row>
    <row r="237" spans="1:62" s="1320" customFormat="1" ht="15" customHeight="1" x14ac:dyDescent="0.2">
      <c r="A237" s="1331"/>
      <c r="B237" s="1312"/>
      <c r="C237" s="1315" t="s">
        <v>1197</v>
      </c>
      <c r="D237" s="1314">
        <f>IF(E222="geschoord skelet",VLOOKUP("gewalst staal S355",'05_VERT DRAAGSTRUCTUUR'!B61:D68,2,0),IF(E222="ongeschoord skelet",VLOOKUP("gewalst staal S355",'05_VERT DRAAGSTRUCTUUR'!B70:D77,2,0),0))</f>
        <v>0</v>
      </c>
      <c r="E237" s="1315" t="s">
        <v>826</v>
      </c>
      <c r="F237" s="1319"/>
      <c r="G237" s="1317"/>
      <c r="H237" s="1333">
        <f>D237</f>
        <v>0</v>
      </c>
      <c r="I237" s="1319" t="s">
        <v>826</v>
      </c>
      <c r="K237" s="1321"/>
      <c r="L237" s="1321"/>
      <c r="M237" s="1321"/>
      <c r="N237" s="1321"/>
      <c r="O237" s="1321"/>
      <c r="P237" s="1321"/>
      <c r="Q237" s="1321"/>
      <c r="R237" s="1321"/>
      <c r="S237" s="1321"/>
      <c r="T237" s="1321"/>
      <c r="U237" s="1321"/>
      <c r="V237" s="1321"/>
      <c r="W237" s="1321"/>
      <c r="X237" s="1321"/>
      <c r="Y237" s="1321"/>
      <c r="Z237" s="1321"/>
      <c r="AA237" s="1321"/>
      <c r="AB237" s="1321"/>
      <c r="AC237" s="1321"/>
      <c r="AD237" s="1321"/>
      <c r="AE237" s="1321"/>
      <c r="AF237" s="1321"/>
      <c r="AG237" s="1321"/>
      <c r="AH237" s="1321"/>
      <c r="AI237" s="1321"/>
      <c r="AJ237" s="1321"/>
      <c r="AK237" s="1321"/>
      <c r="AL237" s="1321"/>
      <c r="AM237" s="1321"/>
      <c r="AN237" s="1321"/>
      <c r="AO237" s="1321"/>
      <c r="AP237" s="1321"/>
      <c r="AQ237" s="1321"/>
      <c r="AR237" s="1321"/>
      <c r="AS237" s="1321"/>
      <c r="AT237" s="1321"/>
      <c r="AU237" s="1321"/>
      <c r="AV237" s="1321"/>
      <c r="AW237" s="1321"/>
      <c r="AX237" s="1321"/>
      <c r="AY237" s="1321"/>
      <c r="AZ237" s="1321"/>
      <c r="BA237" s="1321"/>
      <c r="BB237" s="1321"/>
      <c r="BC237" s="1321"/>
      <c r="BD237" s="1321"/>
      <c r="BE237" s="1321"/>
      <c r="BF237" s="1321"/>
      <c r="BG237" s="1321"/>
      <c r="BH237" s="1321"/>
      <c r="BI237" s="1321"/>
      <c r="BJ237" s="1321"/>
    </row>
    <row r="238" spans="1:62" s="1320" customFormat="1" ht="15" customHeight="1" x14ac:dyDescent="0.2">
      <c r="A238" s="1336"/>
      <c r="B238" s="1324"/>
      <c r="C238" s="1325" t="s">
        <v>766</v>
      </c>
      <c r="D238" s="1337">
        <f>IF(E222="geschoord skelet",VLOOKUP("gewalst staal S460",'05_VERT DRAAGSTRUCTUUR'!B61:D68,2,0),IF(E222="ongeschoord skelet",VLOOKUP("gewalst staal S460",'05_VERT DRAAGSTRUCTUUR'!B70:D77,2,0),0))</f>
        <v>0</v>
      </c>
      <c r="E238" s="1325" t="s">
        <v>826</v>
      </c>
      <c r="F238" s="1330"/>
      <c r="G238" s="1317"/>
      <c r="H238" s="1338">
        <f t="shared" si="9"/>
        <v>0</v>
      </c>
      <c r="I238" s="1326" t="s">
        <v>826</v>
      </c>
      <c r="K238" s="1321"/>
      <c r="L238" s="1321"/>
      <c r="M238" s="1321"/>
      <c r="N238" s="1321"/>
      <c r="O238" s="1321"/>
      <c r="P238" s="1321"/>
      <c r="Q238" s="1321"/>
      <c r="R238" s="1321"/>
      <c r="S238" s="1321"/>
      <c r="T238" s="1321"/>
      <c r="U238" s="1321"/>
      <c r="V238" s="1321"/>
      <c r="W238" s="1321"/>
      <c r="X238" s="1321"/>
      <c r="Y238" s="1321"/>
      <c r="Z238" s="1321"/>
      <c r="AA238" s="1321"/>
      <c r="AB238" s="1321"/>
      <c r="AC238" s="1321"/>
      <c r="AD238" s="1321"/>
      <c r="AE238" s="1321"/>
      <c r="AF238" s="1321"/>
      <c r="AG238" s="1321"/>
      <c r="AH238" s="1321"/>
      <c r="AI238" s="1321"/>
      <c r="AJ238" s="1321"/>
      <c r="AK238" s="1321"/>
      <c r="AL238" s="1321"/>
      <c r="AM238" s="1321"/>
      <c r="AN238" s="1321"/>
      <c r="AO238" s="1321"/>
      <c r="AP238" s="1321"/>
      <c r="AQ238" s="1321"/>
      <c r="AR238" s="1321"/>
      <c r="AS238" s="1321"/>
      <c r="AT238" s="1321"/>
      <c r="AU238" s="1321"/>
      <c r="AV238" s="1321"/>
      <c r="AW238" s="1321"/>
      <c r="AX238" s="1321"/>
      <c r="AY238" s="1321"/>
      <c r="AZ238" s="1321"/>
      <c r="BA238" s="1321"/>
      <c r="BB238" s="1321"/>
      <c r="BC238" s="1321"/>
      <c r="BD238" s="1321"/>
      <c r="BE238" s="1321"/>
      <c r="BF238" s="1321"/>
      <c r="BG238" s="1321"/>
      <c r="BH238" s="1321"/>
      <c r="BI238" s="1321"/>
      <c r="BJ238" s="1321"/>
    </row>
    <row r="239" spans="1:62" ht="18" customHeight="1" x14ac:dyDescent="0.2">
      <c r="B239" s="367"/>
      <c r="C239" s="362"/>
      <c r="D239" s="437"/>
      <c r="E239" s="359"/>
      <c r="F239" s="342"/>
      <c r="H239" s="537"/>
      <c r="I239" s="500"/>
    </row>
    <row r="240" spans="1:62" ht="18" customHeight="1" x14ac:dyDescent="0.2">
      <c r="A240" s="570"/>
      <c r="B240" s="561" t="s">
        <v>1091</v>
      </c>
      <c r="C240" s="539"/>
      <c r="D240" s="539"/>
      <c r="E240" s="1283"/>
      <c r="F240" s="541"/>
      <c r="H240" s="413" t="s">
        <v>825</v>
      </c>
      <c r="I240" s="414"/>
    </row>
    <row r="241" spans="1:62" ht="18" customHeight="1" x14ac:dyDescent="0.2">
      <c r="A241" s="571"/>
      <c r="B241" s="563"/>
      <c r="C241" s="544" t="s">
        <v>218</v>
      </c>
      <c r="D241" s="572" t="str">
        <f>IF(D17="dragende wanden","dragende wanden",D19)</f>
        <v>geschoord skelet</v>
      </c>
      <c r="E241" s="1284"/>
      <c r="F241" s="573"/>
      <c r="H241" s="534"/>
      <c r="I241" s="366"/>
    </row>
    <row r="242" spans="1:62" ht="18" customHeight="1" x14ac:dyDescent="0.2">
      <c r="A242" s="571"/>
      <c r="B242" s="429"/>
      <c r="C242" s="362" t="s">
        <v>291</v>
      </c>
      <c r="D242" s="343" t="str">
        <f>IF(AND(D17="dragende wanden",E17="y"),F18,IF(AND(D17="dragende wanden",E17="x"),F17,IF(D19="geschoord skelet",F20,IF(D19="ongeschoord skelet",0))))</f>
        <v>gewalst staal</v>
      </c>
      <c r="E242" s="1858" t="s">
        <v>216</v>
      </c>
      <c r="F242" s="1859"/>
      <c r="H242" s="534"/>
      <c r="I242" s="366"/>
    </row>
    <row r="243" spans="1:62" ht="18" customHeight="1" x14ac:dyDescent="0.2">
      <c r="A243" s="571"/>
      <c r="B243" s="429"/>
      <c r="C243" s="362" t="s">
        <v>522</v>
      </c>
      <c r="D243" s="343" t="str">
        <f>IF(AND(D17="dragende wanden",E17="x"),"wanden",IF(AND(D17="dragende wanden",E17="y"),D18,IF(D19="geschoord skelet",D20,IF(D19="ongeschoord skelet",0))))</f>
        <v>windverbanden</v>
      </c>
      <c r="E243" s="1488" t="s">
        <v>286</v>
      </c>
      <c r="F243" s="435"/>
      <c r="H243" s="534"/>
      <c r="I243" s="366"/>
    </row>
    <row r="244" spans="1:62" ht="18" customHeight="1" x14ac:dyDescent="0.2">
      <c r="A244" s="571"/>
      <c r="B244" s="429"/>
      <c r="C244" s="430" t="s">
        <v>426</v>
      </c>
      <c r="D244" s="342">
        <f>IF(D243=0,0,F13)</f>
        <v>10</v>
      </c>
      <c r="E244" s="367"/>
      <c r="F244" s="569"/>
      <c r="H244" s="534"/>
      <c r="I244" s="366"/>
    </row>
    <row r="245" spans="1:62" ht="18" customHeight="1" x14ac:dyDescent="0.2">
      <c r="A245" s="571"/>
      <c r="B245" s="429"/>
      <c r="C245" s="383" t="s">
        <v>354</v>
      </c>
      <c r="D245" s="1420">
        <v>1</v>
      </c>
      <c r="E245" s="359"/>
      <c r="F245" s="569"/>
      <c r="H245" s="534"/>
      <c r="I245" s="366"/>
    </row>
    <row r="246" spans="1:62" s="1320" customFormat="1" ht="15" customHeight="1" x14ac:dyDescent="0.2">
      <c r="A246" s="1311"/>
      <c r="B246" s="1328"/>
      <c r="C246" s="1313" t="s">
        <v>88</v>
      </c>
      <c r="D246" s="1314">
        <f>IF(AND(D243="wanden",D242="prefab beton"),'06_STABILITEIT'!C63,0)</f>
        <v>0</v>
      </c>
      <c r="E246" s="1315" t="s">
        <v>826</v>
      </c>
      <c r="F246" s="1316"/>
      <c r="G246" s="1317"/>
      <c r="H246" s="1318">
        <f>D246</f>
        <v>0</v>
      </c>
      <c r="I246" s="1319" t="s">
        <v>826</v>
      </c>
      <c r="K246" s="1321"/>
      <c r="L246" s="1321"/>
      <c r="M246" s="1321"/>
      <c r="N246" s="1321"/>
      <c r="O246" s="1321"/>
      <c r="P246" s="1321"/>
      <c r="Q246" s="1321"/>
      <c r="R246" s="1321"/>
      <c r="S246" s="1321"/>
      <c r="T246" s="1321"/>
      <c r="U246" s="1321"/>
      <c r="V246" s="1321"/>
      <c r="W246" s="1321"/>
      <c r="X246" s="1321"/>
      <c r="Y246" s="1321"/>
      <c r="Z246" s="1321"/>
      <c r="AA246" s="1321"/>
      <c r="AB246" s="1321"/>
      <c r="AC246" s="1321"/>
      <c r="AD246" s="1321"/>
      <c r="AE246" s="1321"/>
      <c r="AF246" s="1321"/>
      <c r="AG246" s="1321"/>
      <c r="AH246" s="1321"/>
      <c r="AI246" s="1321"/>
      <c r="AJ246" s="1321"/>
      <c r="AK246" s="1321"/>
      <c r="AL246" s="1321"/>
      <c r="AM246" s="1321"/>
      <c r="AN246" s="1321"/>
      <c r="AO246" s="1321"/>
      <c r="AP246" s="1321"/>
      <c r="AQ246" s="1321"/>
      <c r="AR246" s="1321"/>
      <c r="AS246" s="1321"/>
      <c r="AT246" s="1321"/>
      <c r="AU246" s="1321"/>
      <c r="AV246" s="1321"/>
      <c r="AW246" s="1321"/>
      <c r="AX246" s="1321"/>
      <c r="AY246" s="1321"/>
      <c r="AZ246" s="1321"/>
      <c r="BA246" s="1321"/>
      <c r="BB246" s="1321"/>
      <c r="BC246" s="1321"/>
      <c r="BD246" s="1321"/>
      <c r="BE246" s="1321"/>
      <c r="BF246" s="1321"/>
      <c r="BG246" s="1321"/>
      <c r="BH246" s="1321"/>
      <c r="BI246" s="1321"/>
      <c r="BJ246" s="1321"/>
    </row>
    <row r="247" spans="1:62" s="1320" customFormat="1" ht="15" customHeight="1" x14ac:dyDescent="0.2">
      <c r="A247" s="1311"/>
      <c r="B247" s="1328"/>
      <c r="C247" s="1313" t="s">
        <v>617</v>
      </c>
      <c r="D247" s="1314">
        <f>IF(AND(D243="wanden",D242="ihwg beton"),'06_STABILITEIT'!C63,IF(D243="kern",'06_STABILITEIT'!C70,0))</f>
        <v>0</v>
      </c>
      <c r="E247" s="1315" t="s">
        <v>826</v>
      </c>
      <c r="F247" s="1316"/>
      <c r="G247" s="1317"/>
      <c r="H247" s="1318">
        <f t="shared" ref="H247:H249" si="10">D247</f>
        <v>0</v>
      </c>
      <c r="I247" s="1319" t="s">
        <v>826</v>
      </c>
      <c r="K247" s="1321"/>
      <c r="L247" s="1321"/>
      <c r="M247" s="1321"/>
      <c r="N247" s="1321"/>
      <c r="O247" s="1321"/>
      <c r="P247" s="1321"/>
      <c r="Q247" s="1321"/>
      <c r="R247" s="1321"/>
      <c r="S247" s="1321"/>
      <c r="T247" s="1321"/>
      <c r="U247" s="1321"/>
      <c r="V247" s="1321"/>
      <c r="W247" s="1321"/>
      <c r="X247" s="1321"/>
      <c r="Y247" s="1321"/>
      <c r="Z247" s="1321"/>
      <c r="AA247" s="1321"/>
      <c r="AB247" s="1321"/>
      <c r="AC247" s="1321"/>
      <c r="AD247" s="1321"/>
      <c r="AE247" s="1321"/>
      <c r="AF247" s="1321"/>
      <c r="AG247" s="1321"/>
      <c r="AH247" s="1321"/>
      <c r="AI247" s="1321"/>
      <c r="AJ247" s="1321"/>
      <c r="AK247" s="1321"/>
      <c r="AL247" s="1321"/>
      <c r="AM247" s="1321"/>
      <c r="AN247" s="1321"/>
      <c r="AO247" s="1321"/>
      <c r="AP247" s="1321"/>
      <c r="AQ247" s="1321"/>
      <c r="AR247" s="1321"/>
      <c r="AS247" s="1321"/>
      <c r="AT247" s="1321"/>
      <c r="AU247" s="1321"/>
      <c r="AV247" s="1321"/>
      <c r="AW247" s="1321"/>
      <c r="AX247" s="1321"/>
      <c r="AY247" s="1321"/>
      <c r="AZ247" s="1321"/>
      <c r="BA247" s="1321"/>
      <c r="BB247" s="1321"/>
      <c r="BC247" s="1321"/>
      <c r="BD247" s="1321"/>
      <c r="BE247" s="1321"/>
      <c r="BF247" s="1321"/>
      <c r="BG247" s="1321"/>
      <c r="BH247" s="1321"/>
      <c r="BI247" s="1321"/>
      <c r="BJ247" s="1321"/>
    </row>
    <row r="248" spans="1:62" s="1320" customFormat="1" ht="15" customHeight="1" x14ac:dyDescent="0.2">
      <c r="A248" s="1311"/>
      <c r="B248" s="1329"/>
      <c r="C248" s="1313" t="s">
        <v>91</v>
      </c>
      <c r="D248" s="1314">
        <f>IF(OR(AND(D243="wanden",D242="prefab beton"),AND(D243="wanden",D242="ihwg beton")),'06_STABILITEIT'!C64,IF(D243="kern",'06_STABILITEIT'!C71,0))</f>
        <v>0</v>
      </c>
      <c r="E248" s="1315" t="s">
        <v>826</v>
      </c>
      <c r="F248" s="1316"/>
      <c r="G248" s="1317"/>
      <c r="H248" s="1318">
        <f t="shared" si="10"/>
        <v>0</v>
      </c>
      <c r="I248" s="1319" t="s">
        <v>826</v>
      </c>
      <c r="K248" s="1321"/>
      <c r="L248" s="1321"/>
      <c r="M248" s="1321"/>
      <c r="N248" s="1321"/>
      <c r="O248" s="1321"/>
      <c r="P248" s="1321"/>
      <c r="Q248" s="1321"/>
      <c r="R248" s="1321"/>
      <c r="S248" s="1321"/>
      <c r="T248" s="1321"/>
      <c r="U248" s="1321"/>
      <c r="V248" s="1321"/>
      <c r="W248" s="1321"/>
      <c r="X248" s="1321"/>
      <c r="Y248" s="1321"/>
      <c r="Z248" s="1321"/>
      <c r="AA248" s="1321"/>
      <c r="AB248" s="1321"/>
      <c r="AC248" s="1321"/>
      <c r="AD248" s="1321"/>
      <c r="AE248" s="1321"/>
      <c r="AF248" s="1321"/>
      <c r="AG248" s="1321"/>
      <c r="AH248" s="1321"/>
      <c r="AI248" s="1321"/>
      <c r="AJ248" s="1321"/>
      <c r="AK248" s="1321"/>
      <c r="AL248" s="1321"/>
      <c r="AM248" s="1321"/>
      <c r="AN248" s="1321"/>
      <c r="AO248" s="1321"/>
      <c r="AP248" s="1321"/>
      <c r="AQ248" s="1321"/>
      <c r="AR248" s="1321"/>
      <c r="AS248" s="1321"/>
      <c r="AT248" s="1321"/>
      <c r="AU248" s="1321"/>
      <c r="AV248" s="1321"/>
      <c r="AW248" s="1321"/>
      <c r="AX248" s="1321"/>
      <c r="AY248" s="1321"/>
      <c r="AZ248" s="1321"/>
      <c r="BA248" s="1321"/>
      <c r="BB248" s="1321"/>
      <c r="BC248" s="1321"/>
      <c r="BD248" s="1321"/>
      <c r="BE248" s="1321"/>
      <c r="BF248" s="1321"/>
      <c r="BG248" s="1321"/>
      <c r="BH248" s="1321"/>
      <c r="BI248" s="1321"/>
      <c r="BJ248" s="1321"/>
    </row>
    <row r="249" spans="1:62" s="1320" customFormat="1" ht="15" customHeight="1" x14ac:dyDescent="0.2">
      <c r="A249" s="1311"/>
      <c r="B249" s="1328"/>
      <c r="C249" s="1315" t="s">
        <v>216</v>
      </c>
      <c r="D249" s="1314">
        <f>IF(AND(D243="windverbanden",E242="gewalst staal S235"),'06_STABILITEIT'!C58,0)</f>
        <v>1.8564734607854512</v>
      </c>
      <c r="E249" s="1315" t="s">
        <v>826</v>
      </c>
      <c r="F249" s="1323"/>
      <c r="G249" s="1317"/>
      <c r="H249" s="1318">
        <f t="shared" si="10"/>
        <v>1.8564734607854512</v>
      </c>
      <c r="I249" s="1319" t="s">
        <v>826</v>
      </c>
      <c r="K249" s="1321"/>
      <c r="L249" s="1321"/>
      <c r="M249" s="1321"/>
      <c r="N249" s="1321"/>
      <c r="O249" s="1321"/>
      <c r="P249" s="1321"/>
      <c r="Q249" s="1321"/>
      <c r="R249" s="1321"/>
      <c r="S249" s="1321"/>
      <c r="T249" s="1321"/>
      <c r="U249" s="1321"/>
      <c r="V249" s="1321"/>
      <c r="W249" s="1321"/>
      <c r="X249" s="1321"/>
      <c r="Y249" s="1321"/>
      <c r="Z249" s="1321"/>
      <c r="AA249" s="1321"/>
      <c r="AB249" s="1321"/>
      <c r="AC249" s="1321"/>
      <c r="AD249" s="1321"/>
      <c r="AE249" s="1321"/>
      <c r="AF249" s="1321"/>
      <c r="AG249" s="1321"/>
      <c r="AH249" s="1321"/>
      <c r="AI249" s="1321"/>
      <c r="AJ249" s="1321"/>
      <c r="AK249" s="1321"/>
      <c r="AL249" s="1321"/>
      <c r="AM249" s="1321"/>
      <c r="AN249" s="1321"/>
      <c r="AO249" s="1321"/>
      <c r="AP249" s="1321"/>
      <c r="AQ249" s="1321"/>
      <c r="AR249" s="1321"/>
      <c r="AS249" s="1321"/>
      <c r="AT249" s="1321"/>
      <c r="AU249" s="1321"/>
      <c r="AV249" s="1321"/>
      <c r="AW249" s="1321"/>
      <c r="AX249" s="1321"/>
      <c r="AY249" s="1321"/>
      <c r="AZ249" s="1321"/>
      <c r="BA249" s="1321"/>
      <c r="BB249" s="1321"/>
      <c r="BC249" s="1321"/>
      <c r="BD249" s="1321"/>
      <c r="BE249" s="1321"/>
      <c r="BF249" s="1321"/>
      <c r="BG249" s="1321"/>
      <c r="BH249" s="1321"/>
      <c r="BI249" s="1321"/>
      <c r="BJ249" s="1321"/>
    </row>
    <row r="250" spans="1:62" s="1320" customFormat="1" ht="15" customHeight="1" x14ac:dyDescent="0.2">
      <c r="A250" s="1311"/>
      <c r="B250" s="1419"/>
      <c r="C250" s="1315" t="s">
        <v>217</v>
      </c>
      <c r="D250" s="1314">
        <f>IF(E242="gewalst staal S355",'06_STABILITEIT'!C58,0)</f>
        <v>0</v>
      </c>
      <c r="E250" s="1315" t="s">
        <v>826</v>
      </c>
      <c r="F250" s="1323"/>
      <c r="G250" s="1317"/>
      <c r="H250" s="1318">
        <f>D250</f>
        <v>0</v>
      </c>
      <c r="I250" s="1319" t="s">
        <v>826</v>
      </c>
      <c r="K250" s="1321"/>
      <c r="L250" s="1321"/>
      <c r="M250" s="1321"/>
      <c r="N250" s="1321"/>
      <c r="O250" s="1321"/>
      <c r="P250" s="1321"/>
      <c r="Q250" s="1321"/>
      <c r="R250" s="1321"/>
      <c r="S250" s="1321"/>
      <c r="T250" s="1321"/>
      <c r="U250" s="1321"/>
      <c r="V250" s="1321"/>
      <c r="W250" s="1321"/>
      <c r="X250" s="1321"/>
      <c r="Y250" s="1321"/>
      <c r="Z250" s="1321"/>
      <c r="AA250" s="1321"/>
      <c r="AB250" s="1321"/>
      <c r="AC250" s="1321"/>
      <c r="AD250" s="1321"/>
      <c r="AE250" s="1321"/>
      <c r="AF250" s="1321"/>
      <c r="AG250" s="1321"/>
      <c r="AH250" s="1321"/>
      <c r="AI250" s="1321"/>
      <c r="AJ250" s="1321"/>
      <c r="AK250" s="1321"/>
      <c r="AL250" s="1321"/>
      <c r="AM250" s="1321"/>
      <c r="AN250" s="1321"/>
      <c r="AO250" s="1321"/>
      <c r="AP250" s="1321"/>
      <c r="AQ250" s="1321"/>
      <c r="AR250" s="1321"/>
      <c r="AS250" s="1321"/>
      <c r="AT250" s="1321"/>
      <c r="AU250" s="1321"/>
      <c r="AV250" s="1321"/>
      <c r="AW250" s="1321"/>
      <c r="AX250" s="1321"/>
      <c r="AY250" s="1321"/>
      <c r="AZ250" s="1321"/>
      <c r="BA250" s="1321"/>
      <c r="BB250" s="1321"/>
      <c r="BC250" s="1321"/>
      <c r="BD250" s="1321"/>
      <c r="BE250" s="1321"/>
      <c r="BF250" s="1321"/>
      <c r="BG250" s="1321"/>
      <c r="BH250" s="1321"/>
      <c r="BI250" s="1321"/>
      <c r="BJ250" s="1321"/>
    </row>
    <row r="251" spans="1:62" s="1320" customFormat="1" ht="15" customHeight="1" x14ac:dyDescent="0.2">
      <c r="A251" s="1311"/>
      <c r="B251" s="1328"/>
      <c r="C251" s="1315" t="s">
        <v>766</v>
      </c>
      <c r="D251" s="1314">
        <f>IF(E242="gewalst staal S460",'06_STABILITEIT'!C58,0)</f>
        <v>0</v>
      </c>
      <c r="E251" s="1315" t="s">
        <v>826</v>
      </c>
      <c r="F251" s="1323"/>
      <c r="G251" s="1317"/>
      <c r="H251" s="1318">
        <f>D251</f>
        <v>0</v>
      </c>
      <c r="I251" s="1319" t="s">
        <v>826</v>
      </c>
      <c r="K251" s="1321"/>
      <c r="L251" s="1321"/>
      <c r="M251" s="1321"/>
      <c r="N251" s="1321"/>
      <c r="O251" s="1321"/>
      <c r="P251" s="1321"/>
      <c r="Q251" s="1321"/>
      <c r="R251" s="1321"/>
      <c r="S251" s="1321"/>
      <c r="T251" s="1321"/>
      <c r="U251" s="1321"/>
      <c r="V251" s="1321"/>
      <c r="W251" s="1321"/>
      <c r="X251" s="1321"/>
      <c r="Y251" s="1321"/>
      <c r="Z251" s="1321"/>
      <c r="AA251" s="1321"/>
      <c r="AB251" s="1321"/>
      <c r="AC251" s="1321"/>
      <c r="AD251" s="1321"/>
      <c r="AE251" s="1321"/>
      <c r="AF251" s="1321"/>
      <c r="AG251" s="1321"/>
      <c r="AH251" s="1321"/>
      <c r="AI251" s="1321"/>
      <c r="AJ251" s="1321"/>
      <c r="AK251" s="1321"/>
      <c r="AL251" s="1321"/>
      <c r="AM251" s="1321"/>
      <c r="AN251" s="1321"/>
      <c r="AO251" s="1321"/>
      <c r="AP251" s="1321"/>
      <c r="AQ251" s="1321"/>
      <c r="AR251" s="1321"/>
      <c r="AS251" s="1321"/>
      <c r="AT251" s="1321"/>
      <c r="AU251" s="1321"/>
      <c r="AV251" s="1321"/>
      <c r="AW251" s="1321"/>
      <c r="AX251" s="1321"/>
      <c r="AY251" s="1321"/>
      <c r="AZ251" s="1321"/>
      <c r="BA251" s="1321"/>
      <c r="BB251" s="1321"/>
      <c r="BC251" s="1321"/>
      <c r="BD251" s="1321"/>
      <c r="BE251" s="1321"/>
      <c r="BF251" s="1321"/>
      <c r="BG251" s="1321"/>
      <c r="BH251" s="1321"/>
      <c r="BI251" s="1321"/>
      <c r="BJ251" s="1321"/>
    </row>
    <row r="252" spans="1:62" s="1320" customFormat="1" ht="15" customHeight="1" x14ac:dyDescent="0.2">
      <c r="A252" s="1311"/>
      <c r="B252" s="1312"/>
      <c r="C252" s="1315" t="s">
        <v>490</v>
      </c>
      <c r="D252" s="1854">
        <f>IF(AND(OR(D242="kzs klinker kwaliteit",D242="kzs std kwaliteit",D242="kzs hoogbouw kwaliteit"),D17="dragende wanden",E17="x"),D229,IF(AND(OR(D242="kzs klinker kwaliteit",D242="kzs std kwaliteit",D242="kzs hoogbouw kwaliteit"),D17="dragende wanden",E17="y"),D229,0))</f>
        <v>0</v>
      </c>
      <c r="E252" s="1315" t="s">
        <v>826</v>
      </c>
      <c r="F252" s="1323"/>
      <c r="G252" s="1317"/>
      <c r="H252" s="1318">
        <f>D252</f>
        <v>0</v>
      </c>
      <c r="I252" s="1319" t="s">
        <v>826</v>
      </c>
      <c r="K252" s="1321"/>
      <c r="L252" s="1321"/>
      <c r="M252" s="1321"/>
      <c r="N252" s="1321"/>
      <c r="O252" s="1321"/>
      <c r="P252" s="1321"/>
      <c r="Q252" s="1321"/>
      <c r="R252" s="1321"/>
      <c r="S252" s="1321"/>
      <c r="T252" s="1321"/>
      <c r="U252" s="1321"/>
      <c r="V252" s="1321"/>
      <c r="W252" s="1321"/>
      <c r="X252" s="1321"/>
      <c r="Y252" s="1321"/>
      <c r="Z252" s="1321"/>
      <c r="AA252" s="1321"/>
      <c r="AB252" s="1321"/>
      <c r="AC252" s="1321"/>
      <c r="AD252" s="1321"/>
      <c r="AE252" s="1321"/>
      <c r="AF252" s="1321"/>
      <c r="AG252" s="1321"/>
      <c r="AH252" s="1321"/>
      <c r="AI252" s="1321"/>
      <c r="AJ252" s="1321"/>
      <c r="AK252" s="1321"/>
      <c r="AL252" s="1321"/>
      <c r="AM252" s="1321"/>
      <c r="AN252" s="1321"/>
      <c r="AO252" s="1321"/>
      <c r="AP252" s="1321"/>
      <c r="AQ252" s="1321"/>
      <c r="AR252" s="1321"/>
      <c r="AS252" s="1321"/>
      <c r="AT252" s="1321"/>
      <c r="AU252" s="1321"/>
      <c r="AV252" s="1321"/>
      <c r="AW252" s="1321"/>
      <c r="AX252" s="1321"/>
      <c r="AY252" s="1321"/>
      <c r="AZ252" s="1321"/>
      <c r="BA252" s="1321"/>
      <c r="BB252" s="1321"/>
      <c r="BC252" s="1321"/>
      <c r="BD252" s="1321"/>
      <c r="BE252" s="1321"/>
      <c r="BF252" s="1321"/>
      <c r="BG252" s="1321"/>
      <c r="BH252" s="1321"/>
      <c r="BI252" s="1321"/>
      <c r="BJ252" s="1321"/>
    </row>
    <row r="253" spans="1:62" s="1320" customFormat="1" ht="15" customHeight="1" x14ac:dyDescent="0.2">
      <c r="A253" s="1853"/>
      <c r="B253" s="1312"/>
      <c r="C253" s="1315" t="s">
        <v>368</v>
      </c>
      <c r="D253" s="1314">
        <f>IF(D242="houtskeletbouw",D233,0)</f>
        <v>0</v>
      </c>
      <c r="E253" s="1315" t="s">
        <v>826</v>
      </c>
      <c r="F253" s="1323"/>
      <c r="G253" s="1317"/>
      <c r="H253" s="1318">
        <f>D253</f>
        <v>0</v>
      </c>
      <c r="I253" s="1319" t="s">
        <v>826</v>
      </c>
      <c r="K253" s="1321"/>
      <c r="L253" s="1321"/>
      <c r="M253" s="1321"/>
      <c r="N253" s="1321"/>
      <c r="O253" s="1321"/>
      <c r="P253" s="1321"/>
      <c r="Q253" s="1321"/>
      <c r="R253" s="1321"/>
      <c r="S253" s="1321"/>
      <c r="T253" s="1321"/>
      <c r="U253" s="1321"/>
      <c r="V253" s="1321"/>
      <c r="W253" s="1321"/>
      <c r="X253" s="1321"/>
      <c r="Y253" s="1321"/>
      <c r="Z253" s="1321"/>
      <c r="AA253" s="1321"/>
      <c r="AB253" s="1321"/>
      <c r="AC253" s="1321"/>
      <c r="AD253" s="1321"/>
      <c r="AE253" s="1321"/>
      <c r="AF253" s="1321"/>
      <c r="AG253" s="1321"/>
      <c r="AH253" s="1321"/>
      <c r="AI253" s="1321"/>
      <c r="AJ253" s="1321"/>
      <c r="AK253" s="1321"/>
      <c r="AL253" s="1321"/>
      <c r="AM253" s="1321"/>
      <c r="AN253" s="1321"/>
      <c r="AO253" s="1321"/>
      <c r="AP253" s="1321"/>
      <c r="AQ253" s="1321"/>
      <c r="AR253" s="1321"/>
      <c r="AS253" s="1321"/>
      <c r="AT253" s="1321"/>
      <c r="AU253" s="1321"/>
      <c r="AV253" s="1321"/>
      <c r="AW253" s="1321"/>
      <c r="AX253" s="1321"/>
      <c r="AY253" s="1321"/>
      <c r="AZ253" s="1321"/>
      <c r="BA253" s="1321"/>
      <c r="BB253" s="1321"/>
      <c r="BC253" s="1321"/>
      <c r="BD253" s="1321"/>
      <c r="BE253" s="1321"/>
      <c r="BF253" s="1321"/>
      <c r="BG253" s="1321"/>
      <c r="BH253" s="1321"/>
      <c r="BI253" s="1321"/>
      <c r="BJ253" s="1321"/>
    </row>
    <row r="254" spans="1:62" s="1320" customFormat="1" ht="15" customHeight="1" x14ac:dyDescent="0.2">
      <c r="A254" s="1852"/>
      <c r="B254" s="1324"/>
      <c r="C254" s="1325" t="s">
        <v>378</v>
      </c>
      <c r="D254" s="1337">
        <f>IF(D242="houtskeletbouw",D235,0)</f>
        <v>0</v>
      </c>
      <c r="E254" s="1315" t="s">
        <v>826</v>
      </c>
      <c r="F254" s="1330"/>
      <c r="G254" s="1317"/>
      <c r="H254" s="1318">
        <f>D254</f>
        <v>0</v>
      </c>
      <c r="I254" s="1326" t="s">
        <v>826</v>
      </c>
      <c r="K254" s="1321"/>
      <c r="L254" s="1321"/>
      <c r="M254" s="1321"/>
      <c r="N254" s="1321"/>
      <c r="O254" s="1321"/>
      <c r="P254" s="1321"/>
      <c r="Q254" s="1321"/>
      <c r="R254" s="1321"/>
      <c r="S254" s="1321"/>
      <c r="T254" s="1321"/>
      <c r="U254" s="1321"/>
      <c r="V254" s="1321"/>
      <c r="W254" s="1321"/>
      <c r="X254" s="1321"/>
      <c r="Y254" s="1321"/>
      <c r="Z254" s="1321"/>
      <c r="AA254" s="1321"/>
      <c r="AB254" s="1321"/>
      <c r="AC254" s="1321"/>
      <c r="AD254" s="1321"/>
      <c r="AE254" s="1321"/>
      <c r="AF254" s="1321"/>
      <c r="AG254" s="1321"/>
      <c r="AH254" s="1321"/>
      <c r="AI254" s="1321"/>
      <c r="AJ254" s="1321"/>
      <c r="AK254" s="1321"/>
      <c r="AL254" s="1321"/>
      <c r="AM254" s="1321"/>
      <c r="AN254" s="1321"/>
      <c r="AO254" s="1321"/>
      <c r="AP254" s="1321"/>
      <c r="AQ254" s="1321"/>
      <c r="AR254" s="1321"/>
      <c r="AS254" s="1321"/>
      <c r="AT254" s="1321"/>
      <c r="AU254" s="1321"/>
      <c r="AV254" s="1321"/>
      <c r="AW254" s="1321"/>
      <c r="AX254" s="1321"/>
      <c r="AY254" s="1321"/>
      <c r="AZ254" s="1321"/>
      <c r="BA254" s="1321"/>
      <c r="BB254" s="1321"/>
      <c r="BC254" s="1321"/>
      <c r="BD254" s="1321"/>
      <c r="BE254" s="1321"/>
      <c r="BF254" s="1321"/>
      <c r="BG254" s="1321"/>
      <c r="BH254" s="1321"/>
      <c r="BI254" s="1321"/>
      <c r="BJ254" s="1321"/>
    </row>
    <row r="255" spans="1:62" ht="18" customHeight="1" x14ac:dyDescent="0.2">
      <c r="A255" s="571"/>
      <c r="B255" s="561" t="s">
        <v>1092</v>
      </c>
      <c r="C255" s="539"/>
      <c r="D255" s="539"/>
      <c r="E255" s="1283"/>
      <c r="F255" s="541"/>
      <c r="H255" s="413" t="s">
        <v>825</v>
      </c>
      <c r="I255" s="414"/>
    </row>
    <row r="256" spans="1:62" ht="18" customHeight="1" x14ac:dyDescent="0.2">
      <c r="A256" s="571"/>
      <c r="B256" s="563"/>
      <c r="C256" s="544" t="s">
        <v>218</v>
      </c>
      <c r="D256" s="572" t="str">
        <f>IF(D17="dragende wanden","dragende wanden",D21)</f>
        <v>geschoord skelet</v>
      </c>
      <c r="E256" s="1284"/>
      <c r="F256" s="574"/>
      <c r="H256" s="575"/>
      <c r="I256" s="576"/>
    </row>
    <row r="257" spans="1:62" ht="18" customHeight="1" x14ac:dyDescent="0.2">
      <c r="A257" s="571"/>
      <c r="B257" s="353"/>
      <c r="C257" s="362" t="s">
        <v>291</v>
      </c>
      <c r="D257" s="342" t="str">
        <f>IF(AND(D17="dragende wanden",E17="y"),F17,IF(AND(D17="dragende wanden",E17="x"),F18,IF(D21="geschoord skelet",F22,IF(D21="ongeschoord skelet",0))))</f>
        <v>gewalst staal</v>
      </c>
      <c r="E257" s="1858" t="s">
        <v>766</v>
      </c>
      <c r="F257" s="1859"/>
      <c r="H257" s="534"/>
      <c r="I257" s="366"/>
    </row>
    <row r="258" spans="1:62" ht="18" customHeight="1" x14ac:dyDescent="0.2">
      <c r="A258" s="571"/>
      <c r="B258" s="353"/>
      <c r="C258" s="362" t="s">
        <v>519</v>
      </c>
      <c r="D258" s="343" t="str">
        <f>IF(AND(D17="dragende wanden",E17="y"),"wanden",IF(AND(D17="dragende wanden",E17="x"),D18,IF(D21="geschoord skelet",D22,IF(D21="ongeschoord skelet",0))))</f>
        <v>windverbanden</v>
      </c>
      <c r="E258" s="1488" t="s">
        <v>288</v>
      </c>
      <c r="F258" s="527"/>
      <c r="H258" s="534"/>
      <c r="I258" s="366"/>
      <c r="J258" s="359"/>
    </row>
    <row r="259" spans="1:62" ht="18" customHeight="1" x14ac:dyDescent="0.2">
      <c r="A259" s="571"/>
      <c r="B259" s="353"/>
      <c r="C259" s="430" t="s">
        <v>427</v>
      </c>
      <c r="D259" s="342">
        <f>IF(D258=0,0,F14)</f>
        <v>3.7</v>
      </c>
      <c r="E259" s="367"/>
      <c r="F259" s="569"/>
      <c r="H259" s="534"/>
      <c r="I259" s="366"/>
    </row>
    <row r="260" spans="1:62" ht="18" customHeight="1" x14ac:dyDescent="0.2">
      <c r="A260" s="571"/>
      <c r="B260" s="353"/>
      <c r="C260" s="383" t="s">
        <v>354</v>
      </c>
      <c r="D260" s="1420">
        <v>1</v>
      </c>
      <c r="E260" s="359"/>
      <c r="F260" s="577">
        <f>IF(D260&lt;&gt;D245,"Let op, kies een gelijk aantal kernen in de x!",0)</f>
        <v>0</v>
      </c>
      <c r="H260" s="534"/>
      <c r="I260" s="366"/>
    </row>
    <row r="261" spans="1:62" s="1320" customFormat="1" ht="15" customHeight="1" x14ac:dyDescent="0.2">
      <c r="A261" s="1311"/>
      <c r="B261" s="1312"/>
      <c r="C261" s="1313" t="s">
        <v>88</v>
      </c>
      <c r="D261" s="1314">
        <f>IF(AND(D258="wanden",D257="prefab beton"),'06_STABILITEIT'!C65,0)</f>
        <v>0</v>
      </c>
      <c r="E261" s="1315" t="s">
        <v>826</v>
      </c>
      <c r="F261" s="1316"/>
      <c r="G261" s="1317"/>
      <c r="H261" s="1318">
        <f>D261</f>
        <v>0</v>
      </c>
      <c r="I261" s="1319" t="s">
        <v>826</v>
      </c>
      <c r="K261" s="1321"/>
      <c r="L261" s="1321"/>
      <c r="M261" s="1321"/>
      <c r="N261" s="1321"/>
      <c r="O261" s="1321"/>
      <c r="P261" s="1321"/>
      <c r="Q261" s="1321"/>
      <c r="R261" s="1321"/>
      <c r="S261" s="1321"/>
      <c r="T261" s="1321"/>
      <c r="U261" s="1321"/>
      <c r="V261" s="1321"/>
      <c r="W261" s="1321"/>
      <c r="X261" s="1321"/>
      <c r="Y261" s="1321"/>
      <c r="Z261" s="1321"/>
      <c r="AA261" s="1321"/>
      <c r="AB261" s="1321"/>
      <c r="AC261" s="1321"/>
      <c r="AD261" s="1321"/>
      <c r="AE261" s="1321"/>
      <c r="AF261" s="1321"/>
      <c r="AG261" s="1321"/>
      <c r="AH261" s="1321"/>
      <c r="AI261" s="1321"/>
      <c r="AJ261" s="1321"/>
      <c r="AK261" s="1321"/>
      <c r="AL261" s="1321"/>
      <c r="AM261" s="1321"/>
      <c r="AN261" s="1321"/>
      <c r="AO261" s="1321"/>
      <c r="AP261" s="1321"/>
      <c r="AQ261" s="1321"/>
      <c r="AR261" s="1321"/>
      <c r="AS261" s="1321"/>
      <c r="AT261" s="1321"/>
      <c r="AU261" s="1321"/>
      <c r="AV261" s="1321"/>
      <c r="AW261" s="1321"/>
      <c r="AX261" s="1321"/>
      <c r="AY261" s="1321"/>
      <c r="AZ261" s="1321"/>
      <c r="BA261" s="1321"/>
      <c r="BB261" s="1321"/>
      <c r="BC261" s="1321"/>
      <c r="BD261" s="1321"/>
      <c r="BE261" s="1321"/>
      <c r="BF261" s="1321"/>
      <c r="BG261" s="1321"/>
      <c r="BH261" s="1321"/>
      <c r="BI261" s="1321"/>
      <c r="BJ261" s="1321"/>
    </row>
    <row r="262" spans="1:62" s="1320" customFormat="1" ht="15" customHeight="1" x14ac:dyDescent="0.2">
      <c r="A262" s="1311"/>
      <c r="B262" s="1312"/>
      <c r="C262" s="1313" t="s">
        <v>617</v>
      </c>
      <c r="D262" s="1314">
        <f>IF(AND(D258="wanden",D257="ihwg beton"),'06_STABILITEIT'!C65,IF(D258="kern",'06_STABILITEIT'!C72,0))</f>
        <v>0</v>
      </c>
      <c r="E262" s="1315" t="s">
        <v>826</v>
      </c>
      <c r="F262" s="1316"/>
      <c r="G262" s="1317"/>
      <c r="H262" s="1318">
        <f t="shared" ref="H262:H264" si="11">D262</f>
        <v>0</v>
      </c>
      <c r="I262" s="1319" t="s">
        <v>826</v>
      </c>
      <c r="K262" s="1321"/>
      <c r="L262" s="1321"/>
      <c r="M262" s="1321"/>
      <c r="N262" s="1321"/>
      <c r="O262" s="1321"/>
      <c r="P262" s="1321"/>
      <c r="Q262" s="1321"/>
      <c r="R262" s="1321"/>
      <c r="S262" s="1321"/>
      <c r="T262" s="1321"/>
      <c r="U262" s="1321"/>
      <c r="V262" s="1321"/>
      <c r="W262" s="1321"/>
      <c r="X262" s="1321"/>
      <c r="Y262" s="1321"/>
      <c r="Z262" s="1321"/>
      <c r="AA262" s="1321"/>
      <c r="AB262" s="1321"/>
      <c r="AC262" s="1321"/>
      <c r="AD262" s="1321"/>
      <c r="AE262" s="1321"/>
      <c r="AF262" s="1321"/>
      <c r="AG262" s="1321"/>
      <c r="AH262" s="1321"/>
      <c r="AI262" s="1321"/>
      <c r="AJ262" s="1321"/>
      <c r="AK262" s="1321"/>
      <c r="AL262" s="1321"/>
      <c r="AM262" s="1321"/>
      <c r="AN262" s="1321"/>
      <c r="AO262" s="1321"/>
      <c r="AP262" s="1321"/>
      <c r="AQ262" s="1321"/>
      <c r="AR262" s="1321"/>
      <c r="AS262" s="1321"/>
      <c r="AT262" s="1321"/>
      <c r="AU262" s="1321"/>
      <c r="AV262" s="1321"/>
      <c r="AW262" s="1321"/>
      <c r="AX262" s="1321"/>
      <c r="AY262" s="1321"/>
      <c r="AZ262" s="1321"/>
      <c r="BA262" s="1321"/>
      <c r="BB262" s="1321"/>
      <c r="BC262" s="1321"/>
      <c r="BD262" s="1321"/>
      <c r="BE262" s="1321"/>
      <c r="BF262" s="1321"/>
      <c r="BG262" s="1321"/>
      <c r="BH262" s="1321"/>
      <c r="BI262" s="1321"/>
      <c r="BJ262" s="1321"/>
    </row>
    <row r="263" spans="1:62" s="1320" customFormat="1" ht="15" customHeight="1" x14ac:dyDescent="0.2">
      <c r="A263" s="1311"/>
      <c r="B263" s="1322"/>
      <c r="C263" s="1313" t="s">
        <v>91</v>
      </c>
      <c r="D263" s="1314">
        <f>IF(OR(AND(D258="wanden",D257="prefab beton"),AND(D258="wanden",D257="ihwg beton")),'06_STABILITEIT'!C64,IF(D258="kern",'06_STABILITEIT'!C71,0))</f>
        <v>0</v>
      </c>
      <c r="E263" s="1315" t="s">
        <v>826</v>
      </c>
      <c r="F263" s="1316"/>
      <c r="G263" s="1317"/>
      <c r="H263" s="1318">
        <f t="shared" si="11"/>
        <v>0</v>
      </c>
      <c r="I263" s="1319" t="s">
        <v>826</v>
      </c>
      <c r="K263" s="1321"/>
      <c r="L263" s="1321"/>
      <c r="M263" s="1321"/>
      <c r="N263" s="1321"/>
      <c r="O263" s="1321"/>
      <c r="P263" s="1321"/>
      <c r="Q263" s="1321"/>
      <c r="R263" s="1321"/>
      <c r="S263" s="1321"/>
      <c r="T263" s="1321"/>
      <c r="U263" s="1321"/>
      <c r="V263" s="1321"/>
      <c r="W263" s="1321"/>
      <c r="X263" s="1321"/>
      <c r="Y263" s="1321"/>
      <c r="Z263" s="1321"/>
      <c r="AA263" s="1321"/>
      <c r="AB263" s="1321"/>
      <c r="AC263" s="1321"/>
      <c r="AD263" s="1321"/>
      <c r="AE263" s="1321"/>
      <c r="AF263" s="1321"/>
      <c r="AG263" s="1321"/>
      <c r="AH263" s="1321"/>
      <c r="AI263" s="1321"/>
      <c r="AJ263" s="1321"/>
      <c r="AK263" s="1321"/>
      <c r="AL263" s="1321"/>
      <c r="AM263" s="1321"/>
      <c r="AN263" s="1321"/>
      <c r="AO263" s="1321"/>
      <c r="AP263" s="1321"/>
      <c r="AQ263" s="1321"/>
      <c r="AR263" s="1321"/>
      <c r="AS263" s="1321"/>
      <c r="AT263" s="1321"/>
      <c r="AU263" s="1321"/>
      <c r="AV263" s="1321"/>
      <c r="AW263" s="1321"/>
      <c r="AX263" s="1321"/>
      <c r="AY263" s="1321"/>
      <c r="AZ263" s="1321"/>
      <c r="BA263" s="1321"/>
      <c r="BB263" s="1321"/>
      <c r="BC263" s="1321"/>
      <c r="BD263" s="1321"/>
      <c r="BE263" s="1321"/>
      <c r="BF263" s="1321"/>
      <c r="BG263" s="1321"/>
      <c r="BH263" s="1321"/>
      <c r="BI263" s="1321"/>
      <c r="BJ263" s="1321"/>
    </row>
    <row r="264" spans="1:62" s="1320" customFormat="1" ht="15" customHeight="1" x14ac:dyDescent="0.2">
      <c r="A264" s="1311"/>
      <c r="B264" s="1312"/>
      <c r="C264" s="1315" t="s">
        <v>216</v>
      </c>
      <c r="D264" s="1314">
        <f>IF(AND(D258="windverbanden",E257="gewalst staal S235"),'06_STABILITEIT'!C59,0)</f>
        <v>0</v>
      </c>
      <c r="E264" s="1315" t="s">
        <v>826</v>
      </c>
      <c r="F264" s="1323"/>
      <c r="G264" s="1317"/>
      <c r="H264" s="1318">
        <f t="shared" si="11"/>
        <v>0</v>
      </c>
      <c r="I264" s="1319" t="s">
        <v>826</v>
      </c>
      <c r="K264" s="1321"/>
      <c r="L264" s="1321"/>
      <c r="M264" s="1321"/>
      <c r="N264" s="1321"/>
      <c r="O264" s="1321"/>
      <c r="P264" s="1321"/>
      <c r="Q264" s="1321"/>
      <c r="R264" s="1321"/>
      <c r="S264" s="1321"/>
      <c r="T264" s="1321"/>
      <c r="U264" s="1321"/>
      <c r="V264" s="1321"/>
      <c r="W264" s="1321"/>
      <c r="X264" s="1321"/>
      <c r="Y264" s="1321"/>
      <c r="Z264" s="1321"/>
      <c r="AA264" s="1321"/>
      <c r="AB264" s="1321"/>
      <c r="AC264" s="1321"/>
      <c r="AD264" s="1321"/>
      <c r="AE264" s="1321"/>
      <c r="AF264" s="1321"/>
      <c r="AG264" s="1321"/>
      <c r="AH264" s="1321"/>
      <c r="AI264" s="1321"/>
      <c r="AJ264" s="1321"/>
      <c r="AK264" s="1321"/>
      <c r="AL264" s="1321"/>
      <c r="AM264" s="1321"/>
      <c r="AN264" s="1321"/>
      <c r="AO264" s="1321"/>
      <c r="AP264" s="1321"/>
      <c r="AQ264" s="1321"/>
      <c r="AR264" s="1321"/>
      <c r="AS264" s="1321"/>
      <c r="AT264" s="1321"/>
      <c r="AU264" s="1321"/>
      <c r="AV264" s="1321"/>
      <c r="AW264" s="1321"/>
      <c r="AX264" s="1321"/>
      <c r="AY264" s="1321"/>
      <c r="AZ264" s="1321"/>
      <c r="BA264" s="1321"/>
      <c r="BB264" s="1321"/>
      <c r="BC264" s="1321"/>
      <c r="BD264" s="1321"/>
      <c r="BE264" s="1321"/>
      <c r="BF264" s="1321"/>
      <c r="BG264" s="1321"/>
      <c r="BH264" s="1321"/>
      <c r="BI264" s="1321"/>
      <c r="BJ264" s="1321"/>
    </row>
    <row r="265" spans="1:62" s="1320" customFormat="1" ht="15" customHeight="1" x14ac:dyDescent="0.2">
      <c r="A265" s="1311"/>
      <c r="B265" s="1419"/>
      <c r="C265" s="1315" t="s">
        <v>217</v>
      </c>
      <c r="D265" s="1314">
        <f>IF(E257="gewalst staal S355",'06_STABILITEIT'!C59,0)</f>
        <v>0</v>
      </c>
      <c r="E265" s="1315" t="s">
        <v>826</v>
      </c>
      <c r="F265" s="1323"/>
      <c r="G265" s="1317"/>
      <c r="H265" s="1318">
        <f>D265</f>
        <v>0</v>
      </c>
      <c r="I265" s="1319" t="s">
        <v>826</v>
      </c>
      <c r="K265" s="1321"/>
      <c r="L265" s="1321"/>
      <c r="M265" s="1321"/>
      <c r="N265" s="1321"/>
      <c r="O265" s="1321"/>
      <c r="P265" s="1321"/>
      <c r="Q265" s="1321"/>
      <c r="R265" s="1321"/>
      <c r="S265" s="1321"/>
      <c r="T265" s="1321"/>
      <c r="U265" s="1321"/>
      <c r="V265" s="1321"/>
      <c r="W265" s="1321"/>
      <c r="X265" s="1321"/>
      <c r="Y265" s="1321"/>
      <c r="Z265" s="1321"/>
      <c r="AA265" s="1321"/>
      <c r="AB265" s="1321"/>
      <c r="AC265" s="1321"/>
      <c r="AD265" s="1321"/>
      <c r="AE265" s="1321"/>
      <c r="AF265" s="1321"/>
      <c r="AG265" s="1321"/>
      <c r="AH265" s="1321"/>
      <c r="AI265" s="1321"/>
      <c r="AJ265" s="1321"/>
      <c r="AK265" s="1321"/>
      <c r="AL265" s="1321"/>
      <c r="AM265" s="1321"/>
      <c r="AN265" s="1321"/>
      <c r="AO265" s="1321"/>
      <c r="AP265" s="1321"/>
      <c r="AQ265" s="1321"/>
      <c r="AR265" s="1321"/>
      <c r="AS265" s="1321"/>
      <c r="AT265" s="1321"/>
      <c r="AU265" s="1321"/>
      <c r="AV265" s="1321"/>
      <c r="AW265" s="1321"/>
      <c r="AX265" s="1321"/>
      <c r="AY265" s="1321"/>
      <c r="AZ265" s="1321"/>
      <c r="BA265" s="1321"/>
      <c r="BB265" s="1321"/>
      <c r="BC265" s="1321"/>
      <c r="BD265" s="1321"/>
      <c r="BE265" s="1321"/>
      <c r="BF265" s="1321"/>
      <c r="BG265" s="1321"/>
      <c r="BH265" s="1321"/>
      <c r="BI265" s="1321"/>
      <c r="BJ265" s="1321"/>
    </row>
    <row r="266" spans="1:62" s="1320" customFormat="1" ht="15" customHeight="1" x14ac:dyDescent="0.2">
      <c r="A266" s="1311"/>
      <c r="B266" s="1312"/>
      <c r="C266" s="1315" t="s">
        <v>766</v>
      </c>
      <c r="D266" s="1314">
        <f>IF(E257="gewalst staal S460",'06_STABILITEIT'!C59,0)</f>
        <v>1.1233199641703011</v>
      </c>
      <c r="E266" s="1315" t="s">
        <v>826</v>
      </c>
      <c r="F266" s="1323"/>
      <c r="G266" s="1317"/>
      <c r="H266" s="1318">
        <f>D266</f>
        <v>1.1233199641703011</v>
      </c>
      <c r="I266" s="1319" t="s">
        <v>826</v>
      </c>
      <c r="K266" s="1321"/>
      <c r="L266" s="1321"/>
      <c r="M266" s="1321"/>
      <c r="N266" s="1321"/>
      <c r="O266" s="1321"/>
      <c r="P266" s="1321"/>
      <c r="Q266" s="1321"/>
      <c r="R266" s="1321"/>
      <c r="S266" s="1321"/>
      <c r="T266" s="1321"/>
      <c r="U266" s="1321"/>
      <c r="V266" s="1321"/>
      <c r="W266" s="1321"/>
      <c r="X266" s="1321"/>
      <c r="Y266" s="1321"/>
      <c r="Z266" s="1321"/>
      <c r="AA266" s="1321"/>
      <c r="AB266" s="1321"/>
      <c r="AC266" s="1321"/>
      <c r="AD266" s="1321"/>
      <c r="AE266" s="1321"/>
      <c r="AF266" s="1321"/>
      <c r="AG266" s="1321"/>
      <c r="AH266" s="1321"/>
      <c r="AI266" s="1321"/>
      <c r="AJ266" s="1321"/>
      <c r="AK266" s="1321"/>
      <c r="AL266" s="1321"/>
      <c r="AM266" s="1321"/>
      <c r="AN266" s="1321"/>
      <c r="AO266" s="1321"/>
      <c r="AP266" s="1321"/>
      <c r="AQ266" s="1321"/>
      <c r="AR266" s="1321"/>
      <c r="AS266" s="1321"/>
      <c r="AT266" s="1321"/>
      <c r="AU266" s="1321"/>
      <c r="AV266" s="1321"/>
      <c r="AW266" s="1321"/>
      <c r="AX266" s="1321"/>
      <c r="AY266" s="1321"/>
      <c r="AZ266" s="1321"/>
      <c r="BA266" s="1321"/>
      <c r="BB266" s="1321"/>
      <c r="BC266" s="1321"/>
      <c r="BD266" s="1321"/>
      <c r="BE266" s="1321"/>
      <c r="BF266" s="1321"/>
      <c r="BG266" s="1321"/>
      <c r="BH266" s="1321"/>
      <c r="BI266" s="1321"/>
      <c r="BJ266" s="1321"/>
    </row>
    <row r="267" spans="1:62" s="1320" customFormat="1" ht="15" customHeight="1" x14ac:dyDescent="0.2">
      <c r="A267" s="1855"/>
      <c r="B267" s="1312"/>
      <c r="C267" s="1315" t="s">
        <v>490</v>
      </c>
      <c r="D267" s="1854">
        <f>IF(AND(OR(D257="kzs klinker kwaliteit",D257="kzs std kwaliteit",D257="kzs hoogbouw kwaliteit"),D17="dragende wanden",E17="y"),D229,IF(AND(OR(D257="kzs klinker kwaliteit",D257="kzs std kwaliteit",D257="kzs hoogbouw kwaliteit"),D17="dragende wanden",E17="x"),D229,0))</f>
        <v>0</v>
      </c>
      <c r="E267" s="1315" t="s">
        <v>826</v>
      </c>
      <c r="F267" s="1319"/>
      <c r="G267" s="1317"/>
      <c r="H267" s="1318">
        <f>D267</f>
        <v>0</v>
      </c>
      <c r="I267" s="1319" t="s">
        <v>826</v>
      </c>
      <c r="K267" s="1321"/>
      <c r="L267" s="1321"/>
      <c r="M267" s="1321"/>
      <c r="N267" s="1321"/>
      <c r="O267" s="1321"/>
      <c r="P267" s="1321"/>
      <c r="Q267" s="1321"/>
      <c r="R267" s="1321"/>
      <c r="S267" s="1321"/>
      <c r="T267" s="1321"/>
      <c r="U267" s="1321"/>
      <c r="V267" s="1321"/>
      <c r="W267" s="1321"/>
      <c r="X267" s="1321"/>
      <c r="Y267" s="1321"/>
      <c r="Z267" s="1321"/>
      <c r="AA267" s="1321"/>
      <c r="AB267" s="1321"/>
      <c r="AC267" s="1321"/>
      <c r="AD267" s="1321"/>
      <c r="AE267" s="1321"/>
      <c r="AF267" s="1321"/>
      <c r="AG267" s="1321"/>
      <c r="AH267" s="1321"/>
      <c r="AI267" s="1321"/>
      <c r="AJ267" s="1321"/>
      <c r="AK267" s="1321"/>
      <c r="AL267" s="1321"/>
      <c r="AM267" s="1321"/>
      <c r="AN267" s="1321"/>
      <c r="AO267" s="1321"/>
      <c r="AP267" s="1321"/>
      <c r="AQ267" s="1321"/>
      <c r="AR267" s="1321"/>
      <c r="AS267" s="1321"/>
      <c r="AT267" s="1321"/>
      <c r="AU267" s="1321"/>
      <c r="AV267" s="1321"/>
      <c r="AW267" s="1321"/>
      <c r="AX267" s="1321"/>
      <c r="AY267" s="1321"/>
      <c r="AZ267" s="1321"/>
      <c r="BA267" s="1321"/>
      <c r="BB267" s="1321"/>
      <c r="BC267" s="1321"/>
      <c r="BD267" s="1321"/>
      <c r="BE267" s="1321"/>
      <c r="BF267" s="1321"/>
      <c r="BG267" s="1321"/>
      <c r="BH267" s="1321"/>
      <c r="BI267" s="1321"/>
      <c r="BJ267" s="1321"/>
    </row>
    <row r="268" spans="1:62" s="1320" customFormat="1" ht="15" customHeight="1" x14ac:dyDescent="0.2">
      <c r="A268" s="1855"/>
      <c r="B268" s="1312"/>
      <c r="C268" s="1315" t="s">
        <v>368</v>
      </c>
      <c r="D268" s="1314">
        <f>IF(D257="houtskeletbouw",D233,0)</f>
        <v>0</v>
      </c>
      <c r="E268" s="1315" t="s">
        <v>826</v>
      </c>
      <c r="F268" s="1319"/>
      <c r="G268" s="1317"/>
      <c r="H268" s="1318">
        <f>D268</f>
        <v>0</v>
      </c>
      <c r="I268" s="1319" t="s">
        <v>826</v>
      </c>
      <c r="K268" s="1321"/>
      <c r="L268" s="1321"/>
      <c r="M268" s="1321"/>
      <c r="N268" s="1321"/>
      <c r="O268" s="1321"/>
      <c r="P268" s="1321"/>
      <c r="Q268" s="1321"/>
      <c r="R268" s="1321"/>
      <c r="S268" s="1321"/>
      <c r="T268" s="1321"/>
      <c r="U268" s="1321"/>
      <c r="V268" s="1321"/>
      <c r="W268" s="1321"/>
      <c r="X268" s="1321"/>
      <c r="Y268" s="1321"/>
      <c r="Z268" s="1321"/>
      <c r="AA268" s="1321"/>
      <c r="AB268" s="1321"/>
      <c r="AC268" s="1321"/>
      <c r="AD268" s="1321"/>
      <c r="AE268" s="1321"/>
      <c r="AF268" s="1321"/>
      <c r="AG268" s="1321"/>
      <c r="AH268" s="1321"/>
      <c r="AI268" s="1321"/>
      <c r="AJ268" s="1321"/>
      <c r="AK268" s="1321"/>
      <c r="AL268" s="1321"/>
      <c r="AM268" s="1321"/>
      <c r="AN268" s="1321"/>
      <c r="AO268" s="1321"/>
      <c r="AP268" s="1321"/>
      <c r="AQ268" s="1321"/>
      <c r="AR268" s="1321"/>
      <c r="AS268" s="1321"/>
      <c r="AT268" s="1321"/>
      <c r="AU268" s="1321"/>
      <c r="AV268" s="1321"/>
      <c r="AW268" s="1321"/>
      <c r="AX268" s="1321"/>
      <c r="AY268" s="1321"/>
      <c r="AZ268" s="1321"/>
      <c r="BA268" s="1321"/>
      <c r="BB268" s="1321"/>
      <c r="BC268" s="1321"/>
      <c r="BD268" s="1321"/>
      <c r="BE268" s="1321"/>
      <c r="BF268" s="1321"/>
      <c r="BG268" s="1321"/>
      <c r="BH268" s="1321"/>
      <c r="BI268" s="1321"/>
      <c r="BJ268" s="1321"/>
    </row>
    <row r="269" spans="1:62" s="1320" customFormat="1" ht="15" customHeight="1" x14ac:dyDescent="0.2">
      <c r="A269" s="1856"/>
      <c r="B269" s="1324"/>
      <c r="C269" s="1325" t="s">
        <v>378</v>
      </c>
      <c r="D269" s="1337">
        <f>IF(D257="houtskeletbouw",D235,0)</f>
        <v>0</v>
      </c>
      <c r="E269" s="1325" t="s">
        <v>826</v>
      </c>
      <c r="F269" s="1326"/>
      <c r="G269" s="1317"/>
      <c r="H269" s="1327">
        <f>D269</f>
        <v>0</v>
      </c>
      <c r="I269" s="1326" t="s">
        <v>826</v>
      </c>
      <c r="K269" s="1321"/>
      <c r="L269" s="1321"/>
      <c r="M269" s="1321"/>
      <c r="N269" s="1321"/>
      <c r="O269" s="1321"/>
      <c r="P269" s="1321"/>
      <c r="Q269" s="1321"/>
      <c r="R269" s="1321"/>
      <c r="S269" s="1321"/>
      <c r="T269" s="1321"/>
      <c r="U269" s="1321"/>
      <c r="V269" s="1321"/>
      <c r="W269" s="1321"/>
      <c r="X269" s="1321"/>
      <c r="Y269" s="1321"/>
      <c r="Z269" s="1321"/>
      <c r="AA269" s="1321"/>
      <c r="AB269" s="1321"/>
      <c r="AC269" s="1321"/>
      <c r="AD269" s="1321"/>
      <c r="AE269" s="1321"/>
      <c r="AF269" s="1321"/>
      <c r="AG269" s="1321"/>
      <c r="AH269" s="1321"/>
      <c r="AI269" s="1321"/>
      <c r="AJ269" s="1321"/>
      <c r="AK269" s="1321"/>
      <c r="AL269" s="1321"/>
      <c r="AM269" s="1321"/>
      <c r="AN269" s="1321"/>
      <c r="AO269" s="1321"/>
      <c r="AP269" s="1321"/>
      <c r="AQ269" s="1321"/>
      <c r="AR269" s="1321"/>
      <c r="AS269" s="1321"/>
      <c r="AT269" s="1321"/>
      <c r="AU269" s="1321"/>
      <c r="AV269" s="1321"/>
      <c r="AW269" s="1321"/>
      <c r="AX269" s="1321"/>
      <c r="AY269" s="1321"/>
      <c r="AZ269" s="1321"/>
      <c r="BA269" s="1321"/>
      <c r="BB269" s="1321"/>
      <c r="BC269" s="1321"/>
      <c r="BD269" s="1321"/>
      <c r="BE269" s="1321"/>
      <c r="BF269" s="1321"/>
      <c r="BG269" s="1321"/>
      <c r="BH269" s="1321"/>
      <c r="BI269" s="1321"/>
      <c r="BJ269" s="1321"/>
    </row>
    <row r="270" spans="1:62" ht="18" customHeight="1" x14ac:dyDescent="0.2">
      <c r="B270" s="367"/>
      <c r="C270" s="362"/>
      <c r="D270" s="579"/>
      <c r="E270" s="359"/>
      <c r="F270" s="359"/>
      <c r="G270" s="360"/>
      <c r="H270" s="545"/>
      <c r="I270" s="500"/>
    </row>
    <row r="271" spans="1:62" ht="18" customHeight="1" x14ac:dyDescent="0.2">
      <c r="B271" s="367" t="s">
        <v>1251</v>
      </c>
      <c r="D271" s="579"/>
      <c r="E271" s="403"/>
      <c r="F271" s="359"/>
      <c r="G271" s="360"/>
      <c r="H271" s="545"/>
      <c r="I271" s="500"/>
    </row>
    <row r="272" spans="1:62" ht="18" customHeight="1" x14ac:dyDescent="0.2">
      <c r="B272" s="362" t="str">
        <f>IF(D17="dragende wanden",E17,"")</f>
        <v/>
      </c>
      <c r="C272" s="362"/>
      <c r="D272" s="579"/>
      <c r="E272" s="403"/>
      <c r="F272" s="359"/>
      <c r="G272" s="360"/>
      <c r="H272" s="545"/>
      <c r="I272" s="500"/>
    </row>
    <row r="273" spans="1:12" ht="18" customHeight="1" x14ac:dyDescent="0.2">
      <c r="B273" s="367"/>
      <c r="C273" s="1829" t="s">
        <v>1235</v>
      </c>
      <c r="D273" s="1831">
        <f>IF(AND(D17="dragende wanden",D243="wanden",B272="x",D225="prefab beton",D242="prefab beton",D246&gt;D230),D246,IF(AND(D17="dragende wanden",D243="wanden",B272="x",D225="prefab beton",D242="prefab beton",D246&lt;D230),D230,0))</f>
        <v>0</v>
      </c>
      <c r="E273" s="1829" t="s">
        <v>826</v>
      </c>
      <c r="F273" s="359"/>
      <c r="G273" s="360"/>
      <c r="H273" s="1830">
        <f>D273</f>
        <v>0</v>
      </c>
      <c r="I273" s="1829" t="s">
        <v>826</v>
      </c>
    </row>
    <row r="274" spans="1:12" ht="18" customHeight="1" x14ac:dyDescent="0.2">
      <c r="B274" s="367"/>
      <c r="C274" s="1829" t="s">
        <v>1237</v>
      </c>
      <c r="D274" s="1831">
        <f>IF(AND(D17="dragende wanden",D258="wanden",B272="y",D225="prefab beton",D257="prefab beton",D261&gt;D230),D261,IF(AND(D17="dragende wanden",B272="y",D225="prefab beton",D257="prefab beton",D261&lt;D230),D230,0))</f>
        <v>0</v>
      </c>
      <c r="E274" s="1829" t="s">
        <v>826</v>
      </c>
      <c r="F274" s="359"/>
      <c r="G274" s="360"/>
      <c r="H274" s="1830"/>
      <c r="I274" s="1829" t="s">
        <v>826</v>
      </c>
    </row>
    <row r="275" spans="1:12" ht="18" customHeight="1" x14ac:dyDescent="0.2">
      <c r="B275" s="367"/>
      <c r="C275" s="1829" t="s">
        <v>1236</v>
      </c>
      <c r="D275" s="1831">
        <f>IF(AND(D17="dragende wanden",D243="wanden",B272="x",D225="ihwg beton",D242="ihwg beton",D247&gt;D231),D247,IF(AND(D17="dragende wanden",D243="wanden",B272="x",D225="ihwg beton",D242="ihwg beton",D247&lt;D231),D231,0))</f>
        <v>0</v>
      </c>
      <c r="E275" s="1829" t="s">
        <v>826</v>
      </c>
      <c r="F275" s="359"/>
      <c r="G275" s="360"/>
      <c r="H275" s="1830">
        <f t="shared" ref="H275:H277" si="12">D275</f>
        <v>0</v>
      </c>
      <c r="I275" s="1829" t="s">
        <v>826</v>
      </c>
    </row>
    <row r="276" spans="1:12" ht="18" customHeight="1" x14ac:dyDescent="0.2">
      <c r="B276" s="367"/>
      <c r="C276" s="1829" t="s">
        <v>1238</v>
      </c>
      <c r="D276" s="1831">
        <f>IF(AND(D17="dragende wanden",D258="wanden",B272="y",D225="ihwg beton",D257="ihwg beton",D262&gt;D231),D262,IF(AND(D17="dragende wanden",B272="y",D225="ihwg beton",D257="ihwg beton",D262&lt;D231),D231,0))</f>
        <v>0</v>
      </c>
      <c r="E276" s="1829" t="s">
        <v>826</v>
      </c>
      <c r="F276" s="359"/>
      <c r="G276" s="360"/>
      <c r="H276" s="1830"/>
      <c r="I276" s="1829" t="s">
        <v>826</v>
      </c>
    </row>
    <row r="277" spans="1:12" ht="18" customHeight="1" x14ac:dyDescent="0.2">
      <c r="B277" s="367"/>
      <c r="C277" s="1829" t="s">
        <v>1239</v>
      </c>
      <c r="D277" s="1831">
        <f>IF(AND(D17="dragende wanden",D243="wanden",B272="x",D225="prefab beton",D242="prefab beton",D248&gt;D232),D248,IF(AND(D17="dragende wanden",D243="wanden",B272="x",D225="prefab beton",D242="prefab beton",D248&lt;D232),D232,IF(AND(D17="dragende wanden",D243="wanden",B272="x",D225="ihwg beton",D242="ihwg beton",D248&gt;D232),D248,IF(AND(D17="dragende wanden",D243="wanden",B272="x",D225="ihwg beton",D242="ihwg beton",D248&lt;D232),D232,0))))</f>
        <v>0</v>
      </c>
      <c r="E277" s="1829" t="s">
        <v>826</v>
      </c>
      <c r="F277" s="359"/>
      <c r="G277" s="360"/>
      <c r="H277" s="1830">
        <f t="shared" si="12"/>
        <v>0</v>
      </c>
      <c r="I277" s="1829" t="s">
        <v>826</v>
      </c>
    </row>
    <row r="278" spans="1:12" ht="18" customHeight="1" x14ac:dyDescent="0.2">
      <c r="B278" s="367"/>
      <c r="C278" s="1829" t="s">
        <v>1240</v>
      </c>
      <c r="D278" s="1831">
        <f>IF(AND(D17="dragende wanden",D258="wanden",B272="y",D225="prefab beton",D257="prefab beton",D263&gt;D232),D263,IF(AND(D17="dragende wanden",B272="y",D225="prefab beton",D257="prefab beton",D263&lt;D232),D232,IF(AND(D17="dragende wanden",D258="wanden",B272="y",D225="ihwg beton",D257="ihwg beton",D263&gt;D232),D263,IF(AND(D17="dragende wanden",B272="y",D225="ihwg beton",D257="ihwg beton",D263&lt;D232),D232,0))))</f>
        <v>0</v>
      </c>
      <c r="E278" s="1829" t="s">
        <v>826</v>
      </c>
      <c r="F278" s="359"/>
      <c r="G278" s="360"/>
      <c r="H278" s="1830"/>
      <c r="I278" s="1829" t="s">
        <v>826</v>
      </c>
    </row>
    <row r="279" spans="1:12" ht="18" customHeight="1" x14ac:dyDescent="0.2">
      <c r="B279" s="367"/>
      <c r="C279" s="1829"/>
      <c r="D279" s="1831"/>
      <c r="E279" s="1829"/>
      <c r="F279" s="359"/>
      <c r="G279" s="360"/>
      <c r="H279" s="1830"/>
      <c r="I279" s="1829"/>
    </row>
    <row r="280" spans="1:12" ht="18" customHeight="1" x14ac:dyDescent="0.2">
      <c r="B280" s="367"/>
      <c r="C280" s="362"/>
      <c r="D280" s="579"/>
      <c r="E280" s="359"/>
      <c r="F280" s="359"/>
      <c r="G280" s="360"/>
      <c r="H280" s="545"/>
      <c r="I280" s="500"/>
    </row>
    <row r="281" spans="1:12" ht="33" x14ac:dyDescent="0.2">
      <c r="A281" s="1421"/>
      <c r="B281" s="713" t="s">
        <v>429</v>
      </c>
      <c r="C281" s="713"/>
      <c r="D281" s="713"/>
      <c r="E281" s="713"/>
      <c r="F281" s="714"/>
      <c r="H281" s="580"/>
      <c r="I281" s="581"/>
    </row>
    <row r="282" spans="1:12" ht="18" customHeight="1" x14ac:dyDescent="0.2">
      <c r="A282" s="684"/>
      <c r="B282" s="715"/>
      <c r="C282" s="715"/>
      <c r="D282" s="715"/>
      <c r="E282" s="715"/>
      <c r="F282" s="716"/>
      <c r="H282" s="582"/>
      <c r="I282" s="583"/>
    </row>
    <row r="283" spans="1:12" ht="18" customHeight="1" x14ac:dyDescent="0.2">
      <c r="A283" s="584"/>
      <c r="B283" s="585" t="s">
        <v>296</v>
      </c>
      <c r="C283" s="585"/>
      <c r="D283" s="585"/>
      <c r="E283" s="1285"/>
      <c r="F283" s="586"/>
      <c r="H283" s="587" t="s">
        <v>825</v>
      </c>
      <c r="I283" s="588"/>
    </row>
    <row r="284" spans="1:12" ht="18" customHeight="1" x14ac:dyDescent="0.2">
      <c r="A284" s="589"/>
      <c r="B284" s="347"/>
      <c r="C284" s="590"/>
      <c r="D284" s="590"/>
      <c r="E284" s="591"/>
      <c r="F284" s="527"/>
      <c r="H284" s="534"/>
      <c r="I284" s="366"/>
    </row>
    <row r="285" spans="1:12" ht="18" customHeight="1" x14ac:dyDescent="0.2">
      <c r="A285" s="589"/>
      <c r="B285" s="592">
        <v>240</v>
      </c>
      <c r="C285" s="362" t="s">
        <v>216</v>
      </c>
      <c r="D285" s="437">
        <f>SUMIF($C$62:$C$267,"gewalst staal S235",$D$62:$D$267)</f>
        <v>114.47620285807943</v>
      </c>
      <c r="E285" s="359" t="s">
        <v>398</v>
      </c>
      <c r="F285" s="435"/>
      <c r="H285" s="510">
        <f>SUMIF($C$62:$C$267,"gewalst staal S235",$H$62:$H$267)</f>
        <v>40.231690139740145</v>
      </c>
      <c r="I285" s="435" t="s">
        <v>826</v>
      </c>
    </row>
    <row r="286" spans="1:12" ht="18" customHeight="1" x14ac:dyDescent="0.2">
      <c r="A286" s="589"/>
      <c r="B286" s="592"/>
      <c r="C286" s="362"/>
      <c r="D286" s="437"/>
      <c r="E286" s="360"/>
      <c r="F286" s="435"/>
      <c r="H286" s="510"/>
      <c r="I286" s="366"/>
      <c r="L286" s="1674"/>
    </row>
    <row r="287" spans="1:12" ht="18" customHeight="1" x14ac:dyDescent="0.2">
      <c r="A287" s="589"/>
      <c r="B287" s="592">
        <v>240</v>
      </c>
      <c r="C287" s="362" t="s">
        <v>217</v>
      </c>
      <c r="D287" s="437">
        <f>SUMIF($C$62:$C$267,"gewalst staal S355",$D$62:$D$267)</f>
        <v>74.468918918918916</v>
      </c>
      <c r="E287" s="359" t="s">
        <v>398</v>
      </c>
      <c r="F287" s="435"/>
      <c r="H287" s="510">
        <f>SUMIF($C$62:$C$267,"gewalst staal S355",$H$62:$H$267)</f>
        <v>31.857611206684687</v>
      </c>
      <c r="I287" s="435" t="s">
        <v>826</v>
      </c>
    </row>
    <row r="288" spans="1:12" ht="18" customHeight="1" x14ac:dyDescent="0.2">
      <c r="A288" s="1095"/>
      <c r="B288" s="592"/>
      <c r="C288" s="362"/>
      <c r="D288" s="437"/>
      <c r="E288" s="359"/>
      <c r="F288" s="435"/>
      <c r="H288" s="510"/>
      <c r="I288" s="366"/>
    </row>
    <row r="289" spans="1:9" ht="18" customHeight="1" x14ac:dyDescent="0.2">
      <c r="A289" s="1095"/>
      <c r="B289" s="592">
        <v>240</v>
      </c>
      <c r="C289" s="362" t="s">
        <v>766</v>
      </c>
      <c r="D289" s="437">
        <f>SUMIF($C$62:$C$267,"gewalst staal S460",$D$62:$D$267)</f>
        <v>1.1233199641703011</v>
      </c>
      <c r="E289" s="359" t="s">
        <v>398</v>
      </c>
      <c r="F289" s="435"/>
      <c r="H289" s="510">
        <f>SUMIF($C$62:$C$267,"gewalst staal S460",$H$62:$H$267)</f>
        <v>1.1233199641703011</v>
      </c>
      <c r="I289" s="435" t="s">
        <v>826</v>
      </c>
    </row>
    <row r="290" spans="1:9" ht="18" customHeight="1" x14ac:dyDescent="0.2">
      <c r="A290" s="589"/>
      <c r="B290" s="592"/>
      <c r="C290" s="362"/>
      <c r="D290" s="437"/>
      <c r="E290" s="360"/>
      <c r="F290" s="435"/>
      <c r="H290" s="510"/>
      <c r="I290" s="366"/>
    </row>
    <row r="291" spans="1:9" ht="18" customHeight="1" x14ac:dyDescent="0.2">
      <c r="A291" s="589"/>
      <c r="B291" s="592">
        <v>240</v>
      </c>
      <c r="C291" s="362" t="s">
        <v>91</v>
      </c>
      <c r="D291" s="437">
        <f>SUMIF($C$62:$C$267,"wapeningsstaal",$D$62:$D$267)+IF(D277&gt;D248,-D248,0)+IF(D277&gt;D232,-D232,0)+IF(D278&gt;D263,-D263,0)+IF(D278&gt;D232,-D232,0)</f>
        <v>14.151437652377561</v>
      </c>
      <c r="E291" s="359" t="s">
        <v>398</v>
      </c>
      <c r="F291" s="435"/>
      <c r="H291" s="510">
        <f>SUMIF($C$62:$C$267,"wapeningsstaal",$H$62:$H$267)+IF(H277&gt;H248,-H248,0)+IF(H277&gt;H232,-H232,0)+IF(H278&gt;H263,-H263,0)+IF(H278&gt;H232,-H232,0)</f>
        <v>9.2563651529919628</v>
      </c>
      <c r="I291" s="435" t="s">
        <v>826</v>
      </c>
    </row>
    <row r="292" spans="1:9" ht="18" customHeight="1" x14ac:dyDescent="0.2">
      <c r="A292" s="589"/>
      <c r="B292" s="592"/>
      <c r="C292" s="362"/>
      <c r="D292" s="437"/>
      <c r="E292" s="360"/>
      <c r="F292" s="435"/>
      <c r="H292" s="510"/>
      <c r="I292" s="366"/>
    </row>
    <row r="293" spans="1:9" ht="18" customHeight="1" x14ac:dyDescent="0.2">
      <c r="A293" s="589"/>
      <c r="B293" s="592">
        <v>240</v>
      </c>
      <c r="C293" s="362" t="s">
        <v>202</v>
      </c>
      <c r="D293" s="437">
        <f>SUMIF($C$62:$C$267,"voorspanstaal",$D$62:$D$267)</f>
        <v>4.7450000000000001</v>
      </c>
      <c r="E293" s="359" t="s">
        <v>398</v>
      </c>
      <c r="F293" s="435"/>
      <c r="H293" s="510">
        <f>SUMIF($C$62:$C$267,"voorspanstaal",$H$62:$H$267)</f>
        <v>0.34517571884984022</v>
      </c>
      <c r="I293" s="435" t="s">
        <v>826</v>
      </c>
    </row>
    <row r="294" spans="1:9" ht="18" customHeight="1" x14ac:dyDescent="0.2">
      <c r="A294" s="589"/>
      <c r="B294" s="592"/>
      <c r="C294" s="362"/>
      <c r="D294" s="437"/>
      <c r="E294" s="360"/>
      <c r="F294" s="435"/>
      <c r="H294" s="510"/>
      <c r="I294" s="366"/>
    </row>
    <row r="295" spans="1:9" ht="18" customHeight="1" x14ac:dyDescent="0.2">
      <c r="A295" s="589"/>
      <c r="B295" s="592">
        <v>19</v>
      </c>
      <c r="C295" s="362" t="s">
        <v>88</v>
      </c>
      <c r="D295" s="437">
        <f>SUMIF($C$62:$C$267,"prefab beton",$D$62:$D$267)+IF(D273&gt;D246,-D246,0)+IF(D273&gt;D230,-D230,0)+IF(D274&gt;D261,-D261,0)+IF(D274&gt;D230,-D230,0)</f>
        <v>994.42903661833373</v>
      </c>
      <c r="E295" s="359" t="s">
        <v>398</v>
      </c>
      <c r="F295" s="435"/>
      <c r="H295" s="510">
        <f>SUMIF($C$62:$C$267,"prefab beton",$H$62:$H$267)+IF(H273&gt;H246,-H246,0)+IF(H273&gt;H230,-H230,0)+IF(H274&gt;H261,-H261,0)+IF(H274&gt;H230,-H230,0)</f>
        <v>252.2914106660113</v>
      </c>
      <c r="I295" s="435" t="s">
        <v>826</v>
      </c>
    </row>
    <row r="296" spans="1:9" ht="18" customHeight="1" x14ac:dyDescent="0.2">
      <c r="A296" s="589"/>
      <c r="B296" s="592"/>
      <c r="C296" s="362"/>
      <c r="D296" s="437"/>
      <c r="E296" s="360"/>
      <c r="F296" s="435"/>
      <c r="H296" s="510"/>
      <c r="I296" s="366"/>
    </row>
    <row r="297" spans="1:9" ht="18" customHeight="1" x14ac:dyDescent="0.2">
      <c r="A297" s="589"/>
      <c r="B297" s="592">
        <v>19</v>
      </c>
      <c r="C297" s="430" t="s">
        <v>617</v>
      </c>
      <c r="D297" s="437">
        <f>SUMIF($C$62:$C$267,"ihwg beton",$D$62:$D$267)+IF(D275&gt;D247,-D247,0)+IF(D275&gt;D231,-D231,0)+IF(D276&gt;D262,-D262,0)+IF(D276&gt;D231,-D231,0)</f>
        <v>403.36214794789873</v>
      </c>
      <c r="E297" s="359" t="s">
        <v>398</v>
      </c>
      <c r="F297" s="435"/>
      <c r="H297" s="510">
        <f>SUMIF($C$62:$C$267,"ihwg beton",$H$62:$H$267)+IF(H275&gt;H247,-H247,0)+IF(H275&gt;H231,-H231,0)+IF(H276&gt;H262,-H262,0)+IF(H276&gt;H231,-H231,0)</f>
        <v>144.95918653231752</v>
      </c>
      <c r="I297" s="435" t="s">
        <v>826</v>
      </c>
    </row>
    <row r="298" spans="1:9" ht="18" customHeight="1" x14ac:dyDescent="0.2">
      <c r="A298" s="589"/>
      <c r="B298" s="592"/>
      <c r="C298" s="362"/>
      <c r="D298" s="593"/>
      <c r="E298" s="360"/>
      <c r="F298" s="435"/>
      <c r="H298" s="510"/>
      <c r="I298" s="366"/>
    </row>
    <row r="299" spans="1:9" ht="18" customHeight="1" x14ac:dyDescent="0.2">
      <c r="A299" s="589"/>
      <c r="B299" s="592">
        <v>100</v>
      </c>
      <c r="C299" s="362" t="s">
        <v>490</v>
      </c>
      <c r="D299" s="437">
        <f>SUMIF($C$62:$C$267,"kzs",$D$62:$D$267)+IF(AND(OR(D225="kzs std kwaliteit",D225="kzs klinker kwaliteit",D225="kzs hoogbouw kwaliteit"),E17="x"),-D252,IF(AND(OR(D225="kzs std kwaliteit",D225="kzs klinker kwaliteit",D225="kzs hoogbouw kwaliteit"),E17="y"),-D267,0))</f>
        <v>0</v>
      </c>
      <c r="E299" s="359" t="s">
        <v>398</v>
      </c>
      <c r="F299" s="435"/>
      <c r="H299" s="510">
        <f>SUMIF($C$62:$C$267,"kzs",$H$62:$H$267)+IF(AND(OR(D225="kzs std kwaliteit",D225="kzs klinker kwaliteit",D225="kzs hoogbouw kwaliteit"),E17="x"),-H252,IF(AND(OR(D225="kzs std kwaliteit",D225="kzs klinker kwaliteit",D225="kzs hoogbouw kwaliteit"),E17="y"),-H267,0))</f>
        <v>0</v>
      </c>
      <c r="I299" s="435" t="s">
        <v>826</v>
      </c>
    </row>
    <row r="300" spans="1:9" ht="18" customHeight="1" x14ac:dyDescent="0.2">
      <c r="A300" s="589"/>
      <c r="B300" s="592"/>
      <c r="C300" s="362"/>
      <c r="D300" s="593"/>
      <c r="E300" s="360"/>
      <c r="F300" s="435"/>
      <c r="H300" s="510"/>
      <c r="I300" s="366"/>
    </row>
    <row r="301" spans="1:9" ht="18" customHeight="1" x14ac:dyDescent="0.2">
      <c r="A301" s="589"/>
      <c r="B301" s="516">
        <v>265</v>
      </c>
      <c r="C301" s="362" t="s">
        <v>368</v>
      </c>
      <c r="D301" s="437">
        <f>SUMIF($C$62:$C$269,"naaldhout",$D$62:$D$269)+IF(AND(D225="houtskeletbouw",E17="x"),-D253,IF(AND(D225="houtskeletbouw",E17="y"),-D268,0))</f>
        <v>0</v>
      </c>
      <c r="E301" s="359" t="s">
        <v>398</v>
      </c>
      <c r="F301" s="435"/>
      <c r="H301" s="510">
        <f>SUMIF($C$62:$C$269,"naaldhout",$H$62:$H$269)+IF(AND(D225="houtskeletbouw",E17="x"),-H253,IF(AND(D225="houtskeletbouw",E17="y"),-H268,0))</f>
        <v>0</v>
      </c>
      <c r="I301" s="435" t="s">
        <v>826</v>
      </c>
    </row>
    <row r="302" spans="1:9" ht="18" customHeight="1" x14ac:dyDescent="0.2">
      <c r="A302" s="1095"/>
      <c r="B302" s="516"/>
      <c r="C302" s="362"/>
      <c r="D302" s="437"/>
      <c r="E302" s="359"/>
      <c r="F302" s="435"/>
      <c r="H302" s="510"/>
      <c r="I302" s="435"/>
    </row>
    <row r="303" spans="1:9" ht="18" customHeight="1" x14ac:dyDescent="0.2">
      <c r="A303" s="1095"/>
      <c r="B303" s="516" t="s">
        <v>1252</v>
      </c>
      <c r="C303" s="362" t="s">
        <v>378</v>
      </c>
      <c r="D303" s="437">
        <f>SUMIF($C$62:$C$269,"gipsplaat",$D$62:$D$269)+IF(AND(D225="houtskeletbouw",E17="x"),-D254,IF(AND(D225="houtskeletbouw",E17="y"),-D269,0))</f>
        <v>0</v>
      </c>
      <c r="E303" s="359" t="s">
        <v>67</v>
      </c>
      <c r="F303" s="435"/>
      <c r="H303" s="510">
        <f>SUMIF($C$62:$C$269,"gipsplaat",$H$62:$H$269)+IF(AND(D225="houtskeletbouw",E17="x"),-H254,IF(AND(D225="houtskeletbouw",E17="y"),-H269,0))</f>
        <v>0</v>
      </c>
      <c r="I303" s="435" t="s">
        <v>826</v>
      </c>
    </row>
    <row r="304" spans="1:9" ht="18" customHeight="1" x14ac:dyDescent="0.2">
      <c r="A304" s="589"/>
      <c r="B304" s="592"/>
      <c r="C304" s="362"/>
      <c r="D304" s="593"/>
      <c r="E304" s="360"/>
      <c r="F304" s="435"/>
      <c r="H304" s="510"/>
      <c r="I304" s="366"/>
    </row>
    <row r="305" spans="1:9" ht="18" customHeight="1" x14ac:dyDescent="0.2">
      <c r="A305" s="594"/>
      <c r="B305" s="595">
        <v>78</v>
      </c>
      <c r="C305" s="535" t="s">
        <v>376</v>
      </c>
      <c r="D305" s="494">
        <f>SUMIF($C$62:$C$267,"gelamineerd hout",$D$62:$D$267)</f>
        <v>0</v>
      </c>
      <c r="E305" s="387" t="s">
        <v>398</v>
      </c>
      <c r="F305" s="531"/>
      <c r="H305" s="578">
        <f>SUMIF($C$62:$C$267,"gelamineerd hout",$H$62:$H$267)</f>
        <v>0</v>
      </c>
      <c r="I305" s="531" t="s">
        <v>826</v>
      </c>
    </row>
    <row r="307" spans="1:9" ht="18" customHeight="1" x14ac:dyDescent="0.2">
      <c r="A307" s="597"/>
      <c r="B307" s="598" t="s">
        <v>297</v>
      </c>
      <c r="C307" s="599"/>
      <c r="D307" s="599" t="s">
        <v>308</v>
      </c>
      <c r="E307" s="599"/>
      <c r="F307" s="600"/>
    </row>
    <row r="308" spans="1:9" ht="18" customHeight="1" x14ac:dyDescent="0.2">
      <c r="A308" s="601"/>
      <c r="B308" s="506"/>
      <c r="C308" s="590"/>
      <c r="D308" s="590"/>
      <c r="E308" s="591"/>
      <c r="F308" s="527"/>
    </row>
    <row r="309" spans="1:9" ht="18" customHeight="1" x14ac:dyDescent="0.2">
      <c r="A309" s="601"/>
      <c r="B309" s="367"/>
      <c r="C309" s="362" t="s">
        <v>298</v>
      </c>
      <c r="D309" s="359"/>
      <c r="E309" s="360"/>
      <c r="F309" s="435"/>
    </row>
    <row r="310" spans="1:9" ht="18" customHeight="1" x14ac:dyDescent="0.2">
      <c r="A310" s="601"/>
      <c r="B310" s="367"/>
      <c r="C310" s="359" t="s">
        <v>204</v>
      </c>
      <c r="D310" s="602" t="str">
        <f>CONCATENATE(D78," ",E78)</f>
        <v>kanaalplaatvloer 200</v>
      </c>
      <c r="E310" s="603">
        <f>F28</f>
        <v>1184</v>
      </c>
      <c r="F310" s="439" t="s">
        <v>399</v>
      </c>
    </row>
    <row r="311" spans="1:9" ht="18" customHeight="1" x14ac:dyDescent="0.2">
      <c r="A311" s="601"/>
      <c r="B311" s="367"/>
      <c r="C311" s="359" t="s">
        <v>306</v>
      </c>
      <c r="D311" s="602" t="str">
        <f>CONCATENATE(D90," ",E90)</f>
        <v>prefab schil met I-profielen 390</v>
      </c>
      <c r="E311" s="603">
        <f>E32*F34</f>
        <v>11840</v>
      </c>
      <c r="F311" s="439" t="s">
        <v>399</v>
      </c>
    </row>
    <row r="312" spans="1:9" ht="18" customHeight="1" x14ac:dyDescent="0.2">
      <c r="A312" s="601"/>
      <c r="B312" s="367"/>
      <c r="C312" s="359" t="s">
        <v>307</v>
      </c>
      <c r="D312" s="604" t="str">
        <f>IF(E39=0,0,CONCATENATE(D135," ",E135))</f>
        <v>prefab schil met I-profielen 390</v>
      </c>
      <c r="E312" s="603">
        <f>E39*F41</f>
        <v>3252</v>
      </c>
      <c r="F312" s="439" t="s">
        <v>399</v>
      </c>
    </row>
    <row r="313" spans="1:9" ht="18" customHeight="1" x14ac:dyDescent="0.2">
      <c r="A313" s="601"/>
      <c r="B313" s="367"/>
      <c r="C313" s="359" t="s">
        <v>198</v>
      </c>
      <c r="D313" s="602" t="str">
        <f>CONCATENATE(D180," ",E180)</f>
        <v>kanaalplaatvloer 200</v>
      </c>
      <c r="E313" s="603">
        <f>F47</f>
        <v>1184</v>
      </c>
      <c r="F313" s="439" t="s">
        <v>399</v>
      </c>
    </row>
    <row r="314" spans="1:9" ht="18" customHeight="1" x14ac:dyDescent="0.2">
      <c r="A314" s="601"/>
      <c r="B314" s="367"/>
      <c r="C314" s="359" t="s">
        <v>91</v>
      </c>
      <c r="D314" s="602"/>
      <c r="E314" s="603"/>
      <c r="F314" s="439"/>
    </row>
    <row r="315" spans="1:9" ht="18" customHeight="1" x14ac:dyDescent="0.2">
      <c r="A315" s="1685"/>
      <c r="B315" s="367"/>
      <c r="C315" s="359"/>
      <c r="D315" s="602"/>
      <c r="E315" s="603"/>
      <c r="F315" s="439"/>
    </row>
    <row r="316" spans="1:9" ht="18" customHeight="1" x14ac:dyDescent="0.2">
      <c r="A316" s="601"/>
      <c r="B316" s="367"/>
      <c r="C316" s="362" t="s">
        <v>1253</v>
      </c>
      <c r="D316" s="602"/>
      <c r="E316" s="603"/>
      <c r="F316" s="439"/>
    </row>
    <row r="317" spans="1:9" ht="18" customHeight="1" x14ac:dyDescent="0.2">
      <c r="A317" s="601"/>
      <c r="B317" s="367"/>
      <c r="C317" s="359" t="s">
        <v>3</v>
      </c>
      <c r="D317" s="405" t="str">
        <f>IF(D17="dragende wanden",0,F228)</f>
        <v>350x350</v>
      </c>
      <c r="E317" s="603">
        <f>IF(D317=0,"",'05_VERT DRAAGSTRUCTUUR'!C31)</f>
        <v>2902.5</v>
      </c>
      <c r="F317" s="439" t="s">
        <v>400</v>
      </c>
    </row>
    <row r="318" spans="1:9" ht="18" customHeight="1" x14ac:dyDescent="0.2">
      <c r="A318" s="601"/>
      <c r="B318" s="367"/>
      <c r="C318" s="359" t="s">
        <v>768</v>
      </c>
      <c r="D318" s="405" t="str">
        <f>IF(D17="dragende wanden",0,F109)</f>
        <v>320x8-190x25-470x15</v>
      </c>
      <c r="E318" s="603">
        <f>IF(OR(D318=0,D318="maximum bereikt"),0,'04_LIGGERS'!D21*'04_LIGGERS'!D20)</f>
        <v>3600</v>
      </c>
      <c r="F318" s="439" t="s">
        <v>400</v>
      </c>
    </row>
    <row r="319" spans="1:9" ht="18" customHeight="1" x14ac:dyDescent="0.2">
      <c r="A319" s="601"/>
      <c r="B319" s="367"/>
      <c r="C319" s="359" t="s">
        <v>769</v>
      </c>
      <c r="D319" s="602" t="str">
        <f>IF(D17="dragende wanden",0,F123)</f>
        <v>150x5-190x15-400x12</v>
      </c>
      <c r="E319" s="603">
        <f>IF(OR(D319=0,D319="maximum bereikt"),0,'04_LIGGERS'!D22*'04_LIGGERS'!D20)</f>
        <v>0</v>
      </c>
      <c r="F319" s="439" t="s">
        <v>400</v>
      </c>
    </row>
    <row r="320" spans="1:9" ht="18" customHeight="1" x14ac:dyDescent="0.2">
      <c r="A320" s="601"/>
      <c r="B320" s="367"/>
      <c r="C320" s="359" t="s">
        <v>770</v>
      </c>
      <c r="D320" s="405" t="str">
        <f>IF(D17="dragende wanden",0,F154)</f>
        <v>320x8-240x30-520x15</v>
      </c>
      <c r="E320" s="603">
        <f>IF(OR(D320=0,D320="maximum bereikt"),0,'04_LIGGERS'!G21*'04_LIGGERS'!G20)</f>
        <v>1080</v>
      </c>
      <c r="F320" s="439" t="s">
        <v>400</v>
      </c>
    </row>
    <row r="321" spans="1:6" ht="18" customHeight="1" x14ac:dyDescent="0.2">
      <c r="A321" s="601"/>
      <c r="B321" s="367"/>
      <c r="C321" s="359" t="s">
        <v>771</v>
      </c>
      <c r="D321" s="602" t="str">
        <f>IF(D17="dragende wanden",0,F168)</f>
        <v>150x5-190x15-400x12</v>
      </c>
      <c r="E321" s="603">
        <f>IF(OR(D321=0,D321="maximum bereikt"),0,'04_LIGGERS'!G22*'04_LIGGERS'!G20)</f>
        <v>0</v>
      </c>
      <c r="F321" s="439" t="s">
        <v>400</v>
      </c>
    </row>
    <row r="322" spans="1:6" ht="18" customHeight="1" x14ac:dyDescent="0.2">
      <c r="A322" s="601"/>
      <c r="B322" s="367"/>
      <c r="C322" s="359" t="s">
        <v>772</v>
      </c>
      <c r="D322" s="405" t="str">
        <f>IF(D17="dragende wanden",0,F198)</f>
        <v>HEA360</v>
      </c>
      <c r="E322" s="603">
        <f>IF(OR(D322=0,D322="maximum bereikt"),0,'04_LIGGERS'!J21*'04_LIGGERS'!J20)</f>
        <v>360</v>
      </c>
      <c r="F322" s="439" t="s">
        <v>400</v>
      </c>
    </row>
    <row r="323" spans="1:6" ht="18" customHeight="1" x14ac:dyDescent="0.2">
      <c r="A323" s="601"/>
      <c r="B323" s="367"/>
      <c r="C323" s="359" t="s">
        <v>773</v>
      </c>
      <c r="D323" s="602">
        <f>IF(D17="dragende wanden",0,F212)</f>
        <v>0</v>
      </c>
      <c r="E323" s="603">
        <f>IF(OR(D323=0,D323="maximum bereikt"),0,'04_LIGGERS'!J22*'04_LIGGERS'!J20)</f>
        <v>0</v>
      </c>
      <c r="F323" s="439" t="s">
        <v>400</v>
      </c>
    </row>
    <row r="324" spans="1:6" ht="18" customHeight="1" x14ac:dyDescent="0.2">
      <c r="A324" s="601"/>
      <c r="B324" s="367"/>
      <c r="C324" s="359" t="s">
        <v>1250</v>
      </c>
      <c r="D324" s="405">
        <f>IF(D17="dragende wanden",CONCATENATE('05_VERT DRAAGSTRUCTUUR'!C38," ",'05_VERT DRAAGSTRUCTUUR'!C81),0)</f>
        <v>0</v>
      </c>
      <c r="E324" s="603">
        <f>IF(D222="dragende wanden",'05_VERT DRAAGSTRUCTUUR'!C46,0)</f>
        <v>0</v>
      </c>
      <c r="F324" s="439" t="s">
        <v>399</v>
      </c>
    </row>
    <row r="325" spans="1:6" ht="18" customHeight="1" x14ac:dyDescent="0.2">
      <c r="A325" s="1685"/>
      <c r="B325" s="367"/>
      <c r="C325" s="359" t="s">
        <v>1243</v>
      </c>
      <c r="D325" s="405">
        <f>IF(AND(D243="wanden",OR(D242="prefab beton",D242="ihwg beton")),CONCATENATE('06_STABILITEIT'!K11," ",'06_STABILITEIT'!C48*1000),IF(AND(D243="wanden",OR(D242="kzs std kwaliteit",D242="kzs klinker kwaliteit",D242="kzs hoogbouw kwaliteit")),CONCATENATE('06_STABILITEIT'!K11," ",'05_VERT DRAAGSTRUCTUUR'!AC5),0))</f>
        <v>0</v>
      </c>
      <c r="E325" s="603">
        <f>IF(AND(D243="wanden",OR(D242="prefab beton",D242="ihwg beton")),'06_STABILITEIT'!K18/'06_STABILITEIT'!C48,IF(AND(E17&lt;&gt;"x",OR(D242="kzs std kwaliteit",D242="kzs klinker kwaliteit",D242="kzs hoogbouw kwaliteit")),'05_VERT DRAAGSTRUCTUUR'!C46,0))</f>
        <v>0</v>
      </c>
      <c r="F325" s="439" t="s">
        <v>399</v>
      </c>
    </row>
    <row r="326" spans="1:6" ht="18" customHeight="1" x14ac:dyDescent="0.2">
      <c r="A326" s="1685"/>
      <c r="B326" s="367"/>
      <c r="C326" s="359" t="s">
        <v>1244</v>
      </c>
      <c r="D326" s="405">
        <f>IF(AND(D258="wanden",OR(D257="prefab beton",D257="ihwg beton")),CONCATENATE('06_STABILITEIT'!M11," ",'06_STABILITEIT'!C48*1000),IF(AND(D258="wanden",OR(D257="kzs std kwaliteit",D257="kzs klinker kwaliteit",D257="kzs hoogbouw kwaliteit")),CONCATENATE('06_STABILITEIT'!M11," ",'05_VERT DRAAGSTRUCTUUR'!AC5),0))</f>
        <v>0</v>
      </c>
      <c r="E326" s="603">
        <f>IF(AND(D258="wanden",OR(D257="prefab beton",D257="ihwg beton")),'06_STABILITEIT'!K18/'06_STABILITEIT'!C48,IF(AND(E17&lt;&gt;"y",OR(D257="kzs std kwaliteit",D257="kzs klinker kwaliteit",D257="kzs hoogbouw kwaliteit")),'05_VERT DRAAGSTRUCTUUR'!C46,0))</f>
        <v>0</v>
      </c>
      <c r="F326" s="439" t="s">
        <v>399</v>
      </c>
    </row>
    <row r="327" spans="1:6" ht="18" customHeight="1" x14ac:dyDescent="0.2">
      <c r="A327" s="1685"/>
      <c r="B327" s="367"/>
      <c r="C327" s="359" t="s">
        <v>1245</v>
      </c>
      <c r="D327" s="1848">
        <f>IF(D243="kern",CONCATENATE(D242," ",'06_STABILITEIT'!C48*1000),0)</f>
        <v>0</v>
      </c>
      <c r="E327" s="603">
        <f>IF(D243="kern",'06_STABILITEIT'!K44/'06_STABILITEIT'!C48,0)</f>
        <v>0</v>
      </c>
      <c r="F327" s="439" t="s">
        <v>399</v>
      </c>
    </row>
    <row r="328" spans="1:6" ht="18" customHeight="1" x14ac:dyDescent="0.2">
      <c r="A328" s="1685"/>
      <c r="B328" s="367"/>
      <c r="C328" s="359" t="s">
        <v>1246</v>
      </c>
      <c r="D328" s="405">
        <f>IF(D258="kern",CONCATENATE(D257," ",'06_STABILITEIT'!C48*1000),0)</f>
        <v>0</v>
      </c>
      <c r="E328" s="603">
        <f>IF(D258="kern",'06_STABILITEIT'!K49/'06_STABILITEIT'!C48,0)</f>
        <v>0</v>
      </c>
      <c r="F328" s="439" t="s">
        <v>399</v>
      </c>
    </row>
    <row r="329" spans="1:6" ht="18" customHeight="1" x14ac:dyDescent="0.2">
      <c r="A329" s="1685"/>
      <c r="B329" s="367"/>
      <c r="C329" s="359" t="s">
        <v>1013</v>
      </c>
      <c r="D329" s="405" t="str">
        <f>IF(D243="windverbanden",CONCATENATE(E242," ","opp ="," ",ROUND('06_STABILITEIT'!K6,3)," ","m^2"),0)</f>
        <v>gewalst staal S235 opp = 0,035 m^2</v>
      </c>
      <c r="E329" s="603">
        <f>IF(D243="windverbanden",'06_STABILITEIT'!C13*SQRT(2),0)</f>
        <v>91.216774773064643</v>
      </c>
      <c r="F329" s="439" t="s">
        <v>400</v>
      </c>
    </row>
    <row r="330" spans="1:6" ht="18" customHeight="1" x14ac:dyDescent="0.2">
      <c r="A330" s="1685"/>
      <c r="B330" s="367"/>
      <c r="C330" s="359" t="s">
        <v>1014</v>
      </c>
      <c r="D330" s="405" t="str">
        <f>IF(D258="windverbanden",CONCATENATE(E257," ","opp ="," ",ROUND('06_STABILITEIT'!M6,3)," ","m^2"),0)</f>
        <v>gewalst staal S460 opp = 0,021 m^2</v>
      </c>
      <c r="E330" s="603">
        <f>IF(D258="windverbanden",'06_STABILITEIT'!C14*SQRT(2),0)</f>
        <v>91.923881554251182</v>
      </c>
      <c r="F330" s="439" t="s">
        <v>400</v>
      </c>
    </row>
    <row r="331" spans="1:6" ht="18" customHeight="1" x14ac:dyDescent="0.2">
      <c r="A331" s="1685"/>
      <c r="B331" s="367"/>
      <c r="C331" s="359" t="s">
        <v>91</v>
      </c>
      <c r="D331" s="405"/>
      <c r="E331" s="603"/>
      <c r="F331" s="439"/>
    </row>
    <row r="332" spans="1:6" ht="18" customHeight="1" x14ac:dyDescent="0.2">
      <c r="A332" s="1685"/>
      <c r="B332" s="367"/>
      <c r="C332" s="359"/>
      <c r="D332" s="405"/>
      <c r="E332" s="603"/>
      <c r="F332" s="439"/>
    </row>
    <row r="333" spans="1:6" ht="18" customHeight="1" x14ac:dyDescent="0.2">
      <c r="A333" s="601"/>
      <c r="B333" s="367"/>
      <c r="C333" s="362" t="s">
        <v>222</v>
      </c>
      <c r="D333" s="602"/>
      <c r="E333" s="603"/>
      <c r="F333" s="439"/>
    </row>
    <row r="334" spans="1:6" ht="18" customHeight="1" x14ac:dyDescent="0.2">
      <c r="A334" s="601"/>
      <c r="B334" s="367"/>
      <c r="C334" s="359" t="s">
        <v>96</v>
      </c>
      <c r="D334" s="405" t="str">
        <f>IF(D63="fundering op staal",0,CONCATENATE('07_FUNDERING'!D32," ",'07_FUNDERING'!E32))</f>
        <v>prefab betonnen heipalen 360*360</v>
      </c>
      <c r="E334" s="603">
        <f>IF(D334=0,"",'07_FUNDERING'!D39)</f>
        <v>2400</v>
      </c>
      <c r="F334" s="439" t="s">
        <v>400</v>
      </c>
    </row>
    <row r="335" spans="1:6" ht="18" customHeight="1" x14ac:dyDescent="0.2">
      <c r="A335" s="601"/>
      <c r="B335" s="367"/>
      <c r="C335" s="360" t="s">
        <v>636</v>
      </c>
      <c r="D335" s="405" t="str">
        <f>IF(D63="fundering op staal",0,'07_FUNDERING'!D56)</f>
        <v>400*600</v>
      </c>
      <c r="E335" s="603">
        <f>IF(D335=0,0,'07_FUNDERING'!W23)</f>
        <v>368.8</v>
      </c>
      <c r="F335" s="439" t="s">
        <v>400</v>
      </c>
    </row>
    <row r="336" spans="1:6" ht="18" customHeight="1" x14ac:dyDescent="0.2">
      <c r="A336" s="601"/>
      <c r="B336" s="367"/>
      <c r="C336" s="360" t="s">
        <v>638</v>
      </c>
      <c r="D336" s="405" t="str">
        <f>'07_FUNDERING'!D55</f>
        <v>500*600</v>
      </c>
      <c r="E336" s="603">
        <f>'07_FUNDERING'!W11</f>
        <v>139.19999999999999</v>
      </c>
      <c r="F336" s="439" t="s">
        <v>400</v>
      </c>
    </row>
    <row r="337" spans="1:6" ht="18" customHeight="1" x14ac:dyDescent="0.2">
      <c r="A337" s="1685"/>
      <c r="B337" s="367"/>
      <c r="C337" s="359" t="s">
        <v>464</v>
      </c>
      <c r="D337" s="602">
        <f>IF(D63="fundering op staal",'07_FUNDERING'!D49,0)</f>
        <v>0</v>
      </c>
      <c r="E337" s="603">
        <f>IF(D337=0,0,'07_FUNDERING'!W56)</f>
        <v>0</v>
      </c>
      <c r="F337" s="439" t="s">
        <v>400</v>
      </c>
    </row>
    <row r="338" spans="1:6" ht="18" customHeight="1" x14ac:dyDescent="0.2">
      <c r="A338" s="1857"/>
      <c r="B338" s="547"/>
      <c r="C338" s="387" t="s">
        <v>91</v>
      </c>
      <c r="D338" s="605"/>
      <c r="E338" s="606"/>
      <c r="F338" s="495"/>
    </row>
    <row r="340" spans="1:6" ht="18" customHeight="1" x14ac:dyDescent="0.2">
      <c r="C340" s="403" t="s">
        <v>1254</v>
      </c>
    </row>
    <row r="344" spans="1:6" ht="18" customHeight="1" x14ac:dyDescent="0.2">
      <c r="B344" s="367"/>
      <c r="D344" s="579"/>
      <c r="E344" s="403"/>
    </row>
    <row r="345" spans="1:6" ht="18" customHeight="1" x14ac:dyDescent="0.2">
      <c r="B345" s="362"/>
      <c r="C345" s="362"/>
      <c r="D345" s="579"/>
      <c r="E345" s="403"/>
    </row>
    <row r="346" spans="1:6" ht="18" customHeight="1" x14ac:dyDescent="0.2">
      <c r="B346" s="367"/>
      <c r="C346" s="1829"/>
      <c r="D346" s="1831">
        <f>IF(AND(D84="dragende wanden",D318="wanden",B345="x",D297="prefab beton",D317="prefab beton",D321&gt;D304),D321,IF(AND(D84="dragende wanden",D318="wanden",B345="x",D297="prefab beton",D317="prefab beton",D321&lt;D304),D304,0))</f>
        <v>0</v>
      </c>
      <c r="E346" s="1829"/>
    </row>
    <row r="347" spans="1:6" ht="18" customHeight="1" x14ac:dyDescent="0.2">
      <c r="B347" s="367"/>
      <c r="C347" s="1829"/>
      <c r="D347" s="1831">
        <f>IF(AND(D84="dragende wanden",D331="wanden",B345="y",D297="prefab beton",D330="prefab beton",D335&gt;D304),D335,IF(AND(D84="dragende wanden",B345="y",D297="prefab beton",D330="prefab beton",D335&lt;D304),D304,0))</f>
        <v>0</v>
      </c>
      <c r="E347" s="1829"/>
    </row>
    <row r="348" spans="1:6" ht="18" customHeight="1" x14ac:dyDescent="0.2">
      <c r="B348" s="367"/>
      <c r="C348" s="1829"/>
      <c r="D348" s="1831">
        <f>IF(AND(D84="dragende wanden",D318="wanden",B345="x",D297="ihwg beton",D317="ihwg beton",D322&gt;D305),D322,IF(AND(D84="dragende wanden",D318="wanden",B345="x",D297="ihwg beton",D317="ihwg beton",D322&lt;D305),D305,0))</f>
        <v>0</v>
      </c>
      <c r="E348" s="1829"/>
    </row>
    <row r="349" spans="1:6" ht="18" customHeight="1" x14ac:dyDescent="0.2">
      <c r="B349" s="367"/>
      <c r="C349" s="1829"/>
      <c r="D349" s="1831">
        <f>IF(AND(D84="dragende wanden",D331="wanden",B345="y",D297="ihwg beton",D330="ihwg beton",D336&gt;D305),D336,IF(AND(D84="dragende wanden",B345="y",D297="ihwg beton",D330="ihwg beton",D336&lt;D305),D305,0))</f>
        <v>0</v>
      </c>
      <c r="E349" s="1829"/>
    </row>
    <row r="350" spans="1:6" ht="18" customHeight="1" x14ac:dyDescent="0.2">
      <c r="B350" s="367"/>
      <c r="C350" s="1829"/>
      <c r="D350" s="1831">
        <f>IF(AND(D84="dragende wanden",D318="wanden",B345="x",D297="prefab beton",D317="prefab beton",D323&gt;D306),D323,IF(AND(D84="dragende wanden",D318="wanden",B345="x",D297="prefab beton",D317="prefab beton",D323&lt;D306),D306,IF(AND(D84="dragende wanden",D318="wanden",B345="x",D297="ihwg beton",D317="ihwg beton",D323&gt;D306),D323,IF(AND(D84="dragende wanden",D318="wanden",B345="x",D297="ihwg beton",D317="ihwg beton",D323&lt;D306),D306,0))))</f>
        <v>0</v>
      </c>
      <c r="E350" s="1829"/>
    </row>
    <row r="351" spans="1:6" ht="18" customHeight="1" x14ac:dyDescent="0.2">
      <c r="B351" s="367"/>
      <c r="C351" s="1829"/>
      <c r="D351" s="1831">
        <f>IF(AND(D84="dragende wanden",D331="wanden",B345="y",D297="prefab beton",D330="prefab beton",D337&gt;D306),D337,IF(AND(D84="dragende wanden",B345="y",D297="prefab beton",D330="prefab beton",D337&lt;D306),D306,IF(AND(D84="dragende wanden",D331="wanden",B345="y",D297="ihwg beton",D330="ihwg beton",D337&gt;D306),D337,IF(AND(D84="dragende wanden",B345="y",D297="ihwg beton",D330="ihwg beton",D337&lt;D306),D306,0))))</f>
        <v>0</v>
      </c>
      <c r="E351" s="1829"/>
    </row>
    <row r="362" spans="2:9" ht="18" customHeight="1" x14ac:dyDescent="0.2">
      <c r="B362" s="403"/>
      <c r="E362" s="403"/>
      <c r="G362" s="403"/>
      <c r="H362" s="607"/>
      <c r="I362" s="403"/>
    </row>
    <row r="364" spans="2:9" ht="18" customHeight="1" x14ac:dyDescent="0.2">
      <c r="B364" s="403"/>
      <c r="E364" s="403"/>
      <c r="G364" s="403"/>
      <c r="H364" s="607"/>
      <c r="I364" s="403"/>
    </row>
    <row r="366" spans="2:9" ht="18" customHeight="1" x14ac:dyDescent="0.2">
      <c r="B366" s="403"/>
      <c r="E366" s="403"/>
      <c r="G366" s="403"/>
      <c r="H366" s="607"/>
      <c r="I366" s="403"/>
    </row>
    <row r="367" spans="2:9" ht="18" customHeight="1" x14ac:dyDescent="0.2">
      <c r="B367" s="403"/>
      <c r="E367" s="403"/>
      <c r="G367" s="403"/>
      <c r="H367" s="607"/>
      <c r="I367" s="403"/>
    </row>
    <row r="368" spans="2:9" ht="18" customHeight="1" x14ac:dyDescent="0.2">
      <c r="B368" s="403"/>
      <c r="E368" s="403"/>
      <c r="G368" s="403"/>
      <c r="H368" s="607"/>
      <c r="I368" s="403"/>
    </row>
    <row r="369" spans="2:9" ht="18" customHeight="1" x14ac:dyDescent="0.2">
      <c r="B369" s="403"/>
      <c r="E369" s="403"/>
      <c r="G369" s="403"/>
      <c r="H369" s="607"/>
      <c r="I369" s="403"/>
    </row>
    <row r="443" spans="2:9" ht="18" customHeight="1" x14ac:dyDescent="0.2">
      <c r="B443" s="403"/>
      <c r="E443" s="403"/>
      <c r="G443" s="403"/>
      <c r="H443" s="607"/>
      <c r="I443" s="403"/>
    </row>
    <row r="457" spans="2:19" ht="18" customHeight="1" x14ac:dyDescent="0.2">
      <c r="B457" s="403"/>
      <c r="E457" s="403"/>
      <c r="G457" s="403"/>
      <c r="H457" s="607"/>
      <c r="I457" s="403"/>
    </row>
    <row r="459" spans="2:19" ht="18" customHeight="1" x14ac:dyDescent="0.2">
      <c r="B459" s="403"/>
      <c r="E459" s="403"/>
      <c r="G459" s="403"/>
      <c r="H459" s="607"/>
      <c r="I459" s="403"/>
    </row>
    <row r="460" spans="2:19" ht="18" customHeight="1" x14ac:dyDescent="0.2">
      <c r="B460" s="403"/>
      <c r="E460" s="403"/>
      <c r="G460" s="403"/>
      <c r="H460" s="607"/>
      <c r="I460" s="403"/>
    </row>
    <row r="462" spans="2:19" ht="18" customHeight="1" x14ac:dyDescent="0.2">
      <c r="K462" s="403"/>
      <c r="L462" s="403"/>
      <c r="M462" s="403"/>
      <c r="N462" s="403"/>
      <c r="O462" s="403"/>
      <c r="P462" s="403"/>
      <c r="Q462" s="403"/>
      <c r="R462" s="403"/>
      <c r="S462" s="403"/>
    </row>
    <row r="463" spans="2:19" ht="18" customHeight="1" x14ac:dyDescent="0.2">
      <c r="B463" s="403"/>
      <c r="E463" s="403"/>
      <c r="G463" s="403"/>
      <c r="H463" s="607"/>
      <c r="I463" s="403"/>
      <c r="K463" s="403"/>
      <c r="L463" s="403"/>
      <c r="M463" s="403"/>
      <c r="N463" s="403"/>
      <c r="O463" s="403"/>
      <c r="P463" s="403"/>
      <c r="Q463" s="403"/>
      <c r="R463" s="403"/>
      <c r="S463" s="403"/>
    </row>
    <row r="464" spans="2:19" ht="18" customHeight="1" x14ac:dyDescent="0.2">
      <c r="B464" s="403"/>
      <c r="E464" s="403"/>
      <c r="G464" s="403"/>
      <c r="H464" s="607"/>
      <c r="I464" s="403"/>
      <c r="K464" s="403"/>
      <c r="L464" s="403"/>
      <c r="M464" s="403"/>
      <c r="N464" s="403"/>
      <c r="O464" s="403"/>
      <c r="P464" s="403"/>
      <c r="Q464" s="403"/>
      <c r="R464" s="403"/>
      <c r="S464" s="403"/>
    </row>
    <row r="465" spans="2:19" ht="18" customHeight="1" x14ac:dyDescent="0.2">
      <c r="B465" s="403"/>
      <c r="E465" s="403"/>
      <c r="G465" s="403"/>
      <c r="H465" s="607"/>
      <c r="I465" s="403"/>
      <c r="K465" s="403"/>
      <c r="L465" s="403"/>
      <c r="M465" s="403"/>
      <c r="N465" s="403"/>
      <c r="O465" s="403"/>
      <c r="P465" s="403"/>
      <c r="Q465" s="403"/>
      <c r="R465" s="403"/>
      <c r="S465" s="403"/>
    </row>
    <row r="466" spans="2:19" ht="18" customHeight="1" x14ac:dyDescent="0.2">
      <c r="K466" s="403"/>
      <c r="L466" s="403"/>
      <c r="M466" s="403"/>
      <c r="N466" s="403"/>
      <c r="O466" s="403"/>
      <c r="P466" s="403"/>
      <c r="Q466" s="403"/>
      <c r="R466" s="403"/>
      <c r="S466" s="403"/>
    </row>
    <row r="468" spans="2:19" ht="18" customHeight="1" x14ac:dyDescent="0.2">
      <c r="B468" s="403"/>
      <c r="E468" s="403"/>
      <c r="G468" s="403"/>
      <c r="H468" s="607"/>
      <c r="I468" s="403"/>
    </row>
  </sheetData>
  <sheetProtection autoFilter="0" pivotTables="0"/>
  <dataConsolidate/>
  <mergeCells count="6">
    <mergeCell ref="E257:F257"/>
    <mergeCell ref="D2:E2"/>
    <mergeCell ref="A3:F3"/>
    <mergeCell ref="D52:E52"/>
    <mergeCell ref="E63:F63"/>
    <mergeCell ref="E242:F242"/>
  </mergeCells>
  <conditionalFormatting sqref="F228 F222 F256">
    <cfRule type="expression" dxfId="57" priority="158">
      <formula>$D$222="geschoord skelet"</formula>
    </cfRule>
  </conditionalFormatting>
  <conditionalFormatting sqref="F246 F261">
    <cfRule type="expression" dxfId="56" priority="153">
      <formula>$F$230="0 mm"</formula>
    </cfRule>
  </conditionalFormatting>
  <conditionalFormatting sqref="F247 F262">
    <cfRule type="expression" dxfId="55" priority="152">
      <formula>$F$231="0 mm"</formula>
    </cfRule>
  </conditionalFormatting>
  <conditionalFormatting sqref="E243">
    <cfRule type="expression" dxfId="54" priority="137">
      <formula>$D$243="wanden"</formula>
    </cfRule>
  </conditionalFormatting>
  <conditionalFormatting sqref="E258">
    <cfRule type="expression" dxfId="53" priority="117">
      <formula>$D$258="wanden"</formula>
    </cfRule>
    <cfRule type="expression" dxfId="52" priority="136">
      <formula>$D$258="wanden"</formula>
    </cfRule>
  </conditionalFormatting>
  <conditionalFormatting sqref="D64">
    <cfRule type="expression" dxfId="51" priority="131">
      <formula>$D$63="fundering op staal"</formula>
    </cfRule>
  </conditionalFormatting>
  <conditionalFormatting sqref="D245">
    <cfRule type="expression" dxfId="50" priority="121">
      <formula>$D$243="kern"</formula>
    </cfRule>
  </conditionalFormatting>
  <conditionalFormatting sqref="C245">
    <cfRule type="expression" dxfId="49" priority="120">
      <formula>$D$243="kern"</formula>
    </cfRule>
  </conditionalFormatting>
  <conditionalFormatting sqref="C260">
    <cfRule type="expression" dxfId="48" priority="119">
      <formula>$D$258="kern"</formula>
    </cfRule>
  </conditionalFormatting>
  <conditionalFormatting sqref="D260">
    <cfRule type="expression" dxfId="47" priority="72">
      <formula>$D$260&lt;&gt;$D$245</formula>
    </cfRule>
    <cfRule type="expression" dxfId="46" priority="118">
      <formula>$D$258="kern"</formula>
    </cfRule>
  </conditionalFormatting>
  <conditionalFormatting sqref="E64">
    <cfRule type="expression" dxfId="45" priority="98">
      <formula>$D$63="fundering op staal"</formula>
    </cfRule>
  </conditionalFormatting>
  <conditionalFormatting sqref="D19">
    <cfRule type="expression" dxfId="44" priority="81">
      <formula>$D$17="dragende wanden"</formula>
    </cfRule>
  </conditionalFormatting>
  <conditionalFormatting sqref="F21">
    <cfRule type="expression" dxfId="43" priority="80">
      <formula>$F$19&lt;&gt;$F$21</formula>
    </cfRule>
  </conditionalFormatting>
  <conditionalFormatting sqref="F17 E18:G18">
    <cfRule type="expression" dxfId="42" priority="79">
      <formula>$D$17="ongeschoord skelet"</formula>
    </cfRule>
  </conditionalFormatting>
  <conditionalFormatting sqref="F17:F18">
    <cfRule type="expression" dxfId="41" priority="78">
      <formula>$D$17="(on)geschoord skelet"</formula>
    </cfRule>
  </conditionalFormatting>
  <conditionalFormatting sqref="E17">
    <cfRule type="expression" dxfId="40" priority="77">
      <formula>$D$17="(on)geschoord skelet"</formula>
    </cfRule>
  </conditionalFormatting>
  <conditionalFormatting sqref="C18">
    <cfRule type="expression" dxfId="39" priority="76">
      <formula>$D$17="(on)geschoord skelet"</formula>
    </cfRule>
  </conditionalFormatting>
  <conditionalFormatting sqref="D18">
    <cfRule type="expression" dxfId="38" priority="75">
      <formula>$D$17="(on)geschoord skelet"</formula>
    </cfRule>
  </conditionalFormatting>
  <conditionalFormatting sqref="C20:F20">
    <cfRule type="expression" dxfId="37" priority="74">
      <formula>$D$19="ongeschoord skelet"</formula>
    </cfRule>
  </conditionalFormatting>
  <conditionalFormatting sqref="C22:F22">
    <cfRule type="expression" dxfId="36" priority="73">
      <formula>$D$21="ongeschoord skelet"</formula>
    </cfRule>
  </conditionalFormatting>
  <conditionalFormatting sqref="F133">
    <cfRule type="expression" dxfId="35" priority="163">
      <formula>$D$135=0</formula>
    </cfRule>
  </conditionalFormatting>
  <conditionalFormatting sqref="D166">
    <cfRule type="expression" dxfId="34" priority="173">
      <formula>$O$159="ja"</formula>
    </cfRule>
  </conditionalFormatting>
  <conditionalFormatting sqref="C210">
    <cfRule type="expression" dxfId="33" priority="184">
      <formula>$O$204="ja"</formula>
    </cfRule>
  </conditionalFormatting>
  <conditionalFormatting sqref="D210">
    <cfRule type="expression" dxfId="32" priority="185">
      <formula>$O$204="ja"</formula>
    </cfRule>
  </conditionalFormatting>
  <conditionalFormatting sqref="D121">
    <cfRule type="expression" dxfId="31" priority="193">
      <formula>$O$114="ja"</formula>
    </cfRule>
  </conditionalFormatting>
  <conditionalFormatting sqref="E109">
    <cfRule type="expression" dxfId="30" priority="32">
      <formula>OR($D$109="gewalst staal S235",$D$109="gewalst staal S355",$D$109="gewalst staal S460")</formula>
    </cfRule>
  </conditionalFormatting>
  <conditionalFormatting sqref="E212">
    <cfRule type="expression" dxfId="29" priority="27">
      <formula>OR($D$212="gewalst staal S235",$D$212="gewalst staal S355",$D$212="gewalst staal S460")</formula>
    </cfRule>
  </conditionalFormatting>
  <conditionalFormatting sqref="E198">
    <cfRule type="expression" dxfId="28" priority="26">
      <formula>OR($D$198="gewalst staal S235",$D$198="gewalst staal S355",$D$198="gewalst staal S460")</formula>
    </cfRule>
  </conditionalFormatting>
  <conditionalFormatting sqref="E168">
    <cfRule type="expression" dxfId="27" priority="25">
      <formula>OR($D$168="gewalst staal S235",$D$168="gewalst staal S355",$D$168="gewalst staal S460")</formula>
    </cfRule>
  </conditionalFormatting>
  <conditionalFormatting sqref="E154">
    <cfRule type="expression" dxfId="26" priority="24">
      <formula>OR($D$154="gewalst staal S235",$D$154="gewalst staal S355",$D$154="gewalst staal S460")</formula>
    </cfRule>
  </conditionalFormatting>
  <conditionalFormatting sqref="E123">
    <cfRule type="expression" dxfId="25" priority="187">
      <formula>OR($D$123="gewalst staal S235",$D$123="gewalst staal S355",$D$123="gewalst staal S460")</formula>
    </cfRule>
  </conditionalFormatting>
  <conditionalFormatting sqref="C19:F22">
    <cfRule type="expression" dxfId="24" priority="82">
      <formula>$D$17="dragende wanden"</formula>
    </cfRule>
    <cfRule type="expression" dxfId="23" priority="83">
      <formula>"ALS($D$30=""dragende wanden"")"</formula>
    </cfRule>
  </conditionalFormatting>
  <conditionalFormatting sqref="F40">
    <cfRule type="expression" dxfId="22" priority="22">
      <formula>$E$40="nee"</formula>
    </cfRule>
  </conditionalFormatting>
  <conditionalFormatting sqref="F33">
    <cfRule type="expression" dxfId="21" priority="20">
      <formula>$E$33="nee"</formula>
    </cfRule>
  </conditionalFormatting>
  <conditionalFormatting sqref="F46">
    <cfRule type="expression" dxfId="20" priority="19">
      <formula>$E$46="nee"</formula>
    </cfRule>
  </conditionalFormatting>
  <conditionalFormatting sqref="F27">
    <cfRule type="expression" dxfId="19" priority="18">
      <formula>$E$27="nee"</formula>
    </cfRule>
  </conditionalFormatting>
  <conditionalFormatting sqref="C166">
    <cfRule type="expression" dxfId="18" priority="17">
      <formula>$O$204="ja"</formula>
    </cfRule>
  </conditionalFormatting>
  <conditionalFormatting sqref="C121">
    <cfRule type="expression" dxfId="17" priority="16">
      <formula>$O$204="ja"</formula>
    </cfRule>
  </conditionalFormatting>
  <conditionalFormatting sqref="C122:F123">
    <cfRule type="expression" dxfId="16" priority="14">
      <formula>AND($D$121="nee",$O$114="niet")</formula>
    </cfRule>
  </conditionalFormatting>
  <conditionalFormatting sqref="C167:F168">
    <cfRule type="expression" dxfId="15" priority="13">
      <formula>AND($D$166="nee",$O$159="niet")</formula>
    </cfRule>
  </conditionalFormatting>
  <conditionalFormatting sqref="C211:F212">
    <cfRule type="expression" dxfId="14" priority="12">
      <formula>AND($D$210="nee",$O$204="niet")</formula>
    </cfRule>
  </conditionalFormatting>
  <conditionalFormatting sqref="D210:E212 D198:E198 D166:E168 D154:E154 D121:E123 D109:E109">
    <cfRule type="expression" dxfId="13" priority="11">
      <formula>$D$17="dragende wanden"</formula>
    </cfRule>
  </conditionalFormatting>
  <conditionalFormatting sqref="D226">
    <cfRule type="expression" dxfId="12" priority="10">
      <formula>$D$17="dragende wanden"</formula>
    </cfRule>
  </conditionalFormatting>
  <conditionalFormatting sqref="E226">
    <cfRule type="expression" dxfId="11" priority="9">
      <formula>OR($D$226="gewalst staal S235",$D$226="gewalst staal S355",$D$226="gewalst staal S460")</formula>
    </cfRule>
  </conditionalFormatting>
  <conditionalFormatting sqref="E226">
    <cfRule type="expression" dxfId="10" priority="8">
      <formula>$D$17="dragende wanden"</formula>
    </cfRule>
  </conditionalFormatting>
  <conditionalFormatting sqref="F228">
    <cfRule type="expression" dxfId="9" priority="7">
      <formula>$D$222="dragende wanden"</formula>
    </cfRule>
  </conditionalFormatting>
  <conditionalFormatting sqref="C88:E88 C133:E133 C178:E178">
    <cfRule type="expression" dxfId="8" priority="6">
      <formula>$D$17="dragende wanden"</formula>
    </cfRule>
  </conditionalFormatting>
  <conditionalFormatting sqref="E257">
    <cfRule type="expression" dxfId="7" priority="4">
      <formula>$D$17="dragende wanden"</formula>
    </cfRule>
  </conditionalFormatting>
  <conditionalFormatting sqref="E257:F257">
    <cfRule type="expression" dxfId="6" priority="3">
      <formula>$D$257&lt;&gt;"gewalst staal"</formula>
    </cfRule>
  </conditionalFormatting>
  <conditionalFormatting sqref="E242">
    <cfRule type="expression" dxfId="5" priority="2">
      <formula>$D$17="dragende wanden"</formula>
    </cfRule>
  </conditionalFormatting>
  <conditionalFormatting sqref="E242:F242">
    <cfRule type="expression" dxfId="4" priority="1">
      <formula>$D$242&lt;&gt;"gewalst staal"</formula>
    </cfRule>
  </conditionalFormatting>
  <dataValidations count="14">
    <dataValidation type="list" allowBlank="1" showInputMessage="1" showErrorMessage="1" sqref="G66">
      <formula1>IF(E66="ja",vloer_d,vloer_e)</formula1>
    </dataValidation>
    <dataValidation type="list" allowBlank="1" showInputMessage="1" showErrorMessage="1" sqref="G65">
      <formula1>IF(F61&lt;5.4,osgroep1,IF(AND(F61&gt;=5.4,F61&lt;7.2),osgroep2,IF(AND(F61&gt;=7.2,F61&lt;10.8),osgroep3,IF(AND(F61&gt;=10.8,F61&lt;12.6),osgroep4,IF(AND(F61&gt;=12.6,F61&lt;16),osgroep5,"")))))</formula1>
    </dataValidation>
    <dataValidation type="list" allowBlank="1" showInputMessage="1" showErrorMessage="1" sqref="G69">
      <formula1>IF(E69="ja",leidingvloeren,IF(E69="nee",standaardvloeren,""))</formula1>
    </dataValidation>
    <dataValidation type="list" allowBlank="1" showInputMessage="1" showErrorMessage="1" sqref="G70:G73">
      <formula1>IF(E70="ja",vormvrijevloeren,IF(E70="nee",vormvastevloeren,""))</formula1>
    </dataValidation>
    <dataValidation type="whole" errorStyle="warning" operator="lessThanOrEqual" allowBlank="1" showInputMessage="1" showErrorMessage="1" errorTitle="Keuze hoofddraagconstructie" error="Geen ongeschoord skelet mogelijk." sqref="F52">
      <formula1>4</formula1>
    </dataValidation>
    <dataValidation type="list" allowBlank="1" showInputMessage="1" showErrorMessage="1" sqref="D64">
      <formula1>IF($D$63="prefab betonnen heipalen",draagkracht,IF($D$63="trillingsarm aangebrachte palen",draagkracht))</formula1>
    </dataValidation>
    <dataValidation type="custom" allowBlank="1" prompt="Geef aan hoeveel stabiliteitswanden er in deze richting mogelijk zijn." sqref="D258">
      <formula1>D258="wanden"</formula1>
    </dataValidation>
    <dataValidation allowBlank="1" showInputMessage="1" showErrorMessage="1" prompt="Deze waarde kan wijzigen door de keuze voor een afwerkvloer of een ander vloersysteem." sqref="F49 F29 F36 F43"/>
    <dataValidation errorStyle="warning" allowBlank="1" showInputMessage="1" showErrorMessage="1" errorTitle="Oppervlakte invoer klopt niet" error="De ingegeven oppervlakten en het totaal ingevoerde vloeroppervlak komen niet overeen." sqref="F51"/>
    <dataValidation type="list" allowBlank="1" showInputMessage="1" showErrorMessage="1" sqref="D88 D106 D195 D133 D151 D178">
      <formula1>richting</formula1>
    </dataValidation>
    <dataValidation type="list" allowBlank="1" showInputMessage="1" showErrorMessage="1" sqref="G64">
      <formula1>IF(I26="woningbouw",vloer_f,IF(I26="utiliteitsbouw",vloer_g,""))</formula1>
    </dataValidation>
    <dataValidation type="whole" errorStyle="warning" operator="greaterThanOrEqual" allowBlank="1" showInputMessage="1" showErrorMessage="1" errorTitle="Te weining stramienen" error="Het minimaal aantal stramienen is 2. De stramienmaat geeft de afstand tussen twee stramienen aan." sqref="E13">
      <formula1>2</formula1>
    </dataValidation>
    <dataValidation type="whole" operator="greaterThanOrEqual" allowBlank="1" showInputMessage="1" showErrorMessage="1" errorTitle="Te weinig stramienen" error="Het minimaal aantal stramienen is 2. De stramienmaat geeft de afstand tussen twee stramienen aan." sqref="E14">
      <formula1>2</formula1>
    </dataValidation>
    <dataValidation type="list" allowBlank="1" showInputMessage="1" showErrorMessage="1" sqref="D227">
      <formula1>"automatisch,geen/transport"</formula1>
    </dataValidation>
  </dataValidations>
  <hyperlinks>
    <hyperlink ref="E4" r:id="rId1"/>
  </hyperlinks>
  <pageMargins left="0.70866141732283472" right="0.70866141732283472" top="0.74803149606299213" bottom="0.74803149606299213" header="0.31496062992125984" footer="0.31496062992125984"/>
  <pageSetup paperSize="9" scale="53" orientation="landscape" draft="1" verticalDpi="300" r:id="rId2"/>
  <rowBreaks count="6" manualBreakCount="6">
    <brk id="56" max="8" man="1"/>
    <brk id="85" max="8" man="1"/>
    <brk id="130" max="8" man="1"/>
    <brk id="175" max="8" man="1"/>
    <brk id="219" max="8" man="1"/>
    <brk id="269" max="8" man="1"/>
  </rowBreaks>
  <ignoredErrors>
    <ignoredError sqref="F46" numberStoredAsText="1"/>
  </ignoredErrors>
  <drawing r:id="rId3"/>
  <extLst>
    <ext xmlns:x14="http://schemas.microsoft.com/office/spreadsheetml/2009/9/main" uri="{CCE6A557-97BC-4b89-ADB6-D9C93CAAB3DF}">
      <x14:dataValidations xmlns:xm="http://schemas.microsoft.com/office/excel/2006/main" count="41">
        <x14:dataValidation type="list" allowBlank="1" showInputMessage="1" showErrorMessage="1">
          <x14:formula1>
            <xm:f>KEUZELIJSTEN!$A$15:$A$20</xm:f>
          </x14:formula1>
          <xm:sqref>D79 D91 D136</xm:sqref>
        </x14:dataValidation>
        <x14:dataValidation type="list" allowBlank="1" showInputMessage="1" showErrorMessage="1">
          <x14:formula1>
            <xm:f>KEUZELIJSTEN!$A$28:$A$31</xm:f>
          </x14:formula1>
          <xm:sqref>D80 D93 D138</xm:sqref>
        </x14:dataValidation>
        <x14:dataValidation type="list" allowBlank="1" showInputMessage="1" showErrorMessage="1">
          <x14:formula1>
            <xm:f>KEUZELIJSTEN!$A$29:$A$31</xm:f>
          </x14:formula1>
          <xm:sqref>M92 M137 M182 M65</xm:sqref>
        </x14:dataValidation>
        <x14:dataValidation type="list" allowBlank="1" showInputMessage="1" showErrorMessage="1">
          <x14:formula1>
            <xm:f>KEUZELIJSTEN!$A$24:$A$25</xm:f>
          </x14:formula1>
          <xm:sqref>M91 M136 M181</xm:sqref>
        </x14:dataValidation>
        <x14:dataValidation type="list" allowBlank="1" showInputMessage="1" showErrorMessage="1">
          <x14:formula1>
            <xm:f>KEUZELIJSTEN!$A$23:$A$25</xm:f>
          </x14:formula1>
          <xm:sqref>D92 D137 D182</xm:sqref>
        </x14:dataValidation>
        <x14:dataValidation type="list" allowBlank="1" showInputMessage="1" showErrorMessage="1" prompt="Kies gebruiksfunctie">
          <x14:formula1>
            <xm:f>KEUZELIJSTEN!$A$3:$A$11</xm:f>
          </x14:formula1>
          <xm:sqref>F32 F26 F39</xm:sqref>
        </x14:dataValidation>
        <x14:dataValidation type="list" allowBlank="1" showInputMessage="1" showErrorMessage="1">
          <x14:formula1>
            <xm:f>KEUZELIJSTEN!$Q$35:$Q$36</xm:f>
          </x14:formula1>
          <xm:sqref>D17</xm:sqref>
        </x14:dataValidation>
        <x14:dataValidation type="list" allowBlank="1" showInputMessage="1" showErrorMessage="1">
          <x14:formula1>
            <xm:f>KEUZELIJSTEN!$P$35:$P$40</xm:f>
          </x14:formula1>
          <xm:sqref>D168 D212 D123</xm:sqref>
        </x14:dataValidation>
        <x14:dataValidation type="list" allowBlank="1" showInputMessage="1" showErrorMessage="1">
          <x14:formula1>
            <xm:f>KEUZELIJSTEN!$AA$35:$AA$38</xm:f>
          </x14:formula1>
          <xm:sqref>E64</xm:sqref>
        </x14:dataValidation>
        <x14:dataValidation type="list" allowBlank="1" showInputMessage="1" showErrorMessage="1">
          <x14:formula1>
            <xm:f>KEUZELIJSTEN!$AC$35:$AC$41</xm:f>
          </x14:formula1>
          <xm:sqref>D260 D245</xm:sqref>
        </x14:dataValidation>
        <x14:dataValidation type="list" allowBlank="1" showInputMessage="1" showErrorMessage="1">
          <x14:formula1>
            <xm:f>KEUZELIJSTEN!$AH$35:$AH$38</xm:f>
          </x14:formula1>
          <xm:sqref>D78</xm:sqref>
        </x14:dataValidation>
        <x14:dataValidation type="list" allowBlank="1" showInputMessage="1" showErrorMessage="1">
          <x14:formula1>
            <xm:f>KEUZELIJSTEN!$AH$41:$AH$42</xm:f>
          </x14:formula1>
          <xm:sqref>D62</xm:sqref>
        </x14:dataValidation>
        <x14:dataValidation type="list" allowBlank="1" showInputMessage="1" showErrorMessage="1">
          <x14:formula1>
            <xm:f>KEUZELIJSTEN!$AD$35:$AD$38</xm:f>
          </x14:formula1>
          <xm:sqref>D211 D122 D167</xm:sqref>
        </x14:dataValidation>
        <x14:dataValidation type="list" allowBlank="1" showInputMessage="1" showErrorMessage="1">
          <x14:formula1>
            <xm:f>KEUZELIJSTEN!$C$35:$C$38</xm:f>
          </x14:formula1>
          <xm:sqref>E42 E35 E48</xm:sqref>
        </x14:dataValidation>
        <x14:dataValidation type="list" allowBlank="1" showInputMessage="1" showErrorMessage="1">
          <x14:formula1>
            <xm:f>IF($D$17="dragende wanden",KEUZELIJSTEN!$A$35:$A$36)</xm:f>
          </x14:formula1>
          <xm:sqref>E17</xm:sqref>
        </x14:dataValidation>
        <x14:dataValidation type="list" allowBlank="1" showInputMessage="1" showErrorMessage="1">
          <x14:formula1>
            <xm:f>IF($D$17="(on)geschoord skelet",KEUZELIJSTEN!$R$35:$R$36)</xm:f>
          </x14:formula1>
          <xm:sqref>D19 D21</xm:sqref>
        </x14:dataValidation>
        <x14:dataValidation type="list" allowBlank="1" showInputMessage="1" showErrorMessage="1">
          <x14:formula1>
            <xm:f>IF($D$17="dragende wanden",KEUZELIJSTEN!$V$35:$V$37)</xm:f>
          </x14:formula1>
          <xm:sqref>D18</xm:sqref>
        </x14:dataValidation>
        <x14:dataValidation type="list" allowBlank="1" showInputMessage="1" showErrorMessage="1">
          <x14:formula1>
            <xm:f>IF($D$19="geschoord skelet",KEUZELIJSTEN!$V$35:$V$37)</xm:f>
          </x14:formula1>
          <xm:sqref>D20 D22</xm:sqref>
        </x14:dataValidation>
        <x14:dataValidation type="list" allowBlank="1" showInputMessage="1" showErrorMessage="1">
          <x14:formula1>
            <xm:f>IF($D$20="kern",KEUZELIJSTEN!$Y$35:$Y$36,IF($D$20="wanden",KEUZELIJSTEN!$W$35:$W$36,IF($D$20="windverbanden",KEUZELIJSTEN!$T$37:$T$38)))</xm:f>
          </x14:formula1>
          <xm:sqref>F20</xm:sqref>
        </x14:dataValidation>
        <x14:dataValidation type="list" allowBlank="1" showInputMessage="1" showErrorMessage="1">
          <x14:formula1>
            <xm:f>IF($D$19="geschoord skelet",KEUZELIJSTEN!$S$35:$S$40,IF($D$19="ongeschoord skelet",KEUZELIJSTEN!$T$35:$T$38))</xm:f>
          </x14:formula1>
          <xm:sqref>F19</xm:sqref>
        </x14:dataValidation>
        <x14:dataValidation type="list" allowBlank="1" showInputMessage="1" showErrorMessage="1">
          <x14:formula1>
            <xm:f>IF($D$18="kern",KEUZELIJSTEN!$Y$35:$Y$36,IF($D$18="wanden",KEUZELIJSTEN!$W$35:$W$40,IF($D$18="windverbanden",KEUZELIJSTEN!$T$37:$T$38)))</xm:f>
          </x14:formula1>
          <xm:sqref>F18</xm:sqref>
        </x14:dataValidation>
        <x14:dataValidation type="list" allowBlank="1" showInputMessage="1" showErrorMessage="1">
          <x14:formula1>
            <xm:f>IF($D$17="dragende wanden",KEUZELIJSTEN!$U$35:$U$40,KEUZELIJSTEN!$S$35:$S$40)</xm:f>
          </x14:formula1>
          <xm:sqref>F17</xm:sqref>
        </x14:dataValidation>
        <x14:dataValidation type="list" allowBlank="1" showInputMessage="1" showErrorMessage="1">
          <x14:formula1>
            <xm:f>IF($F$52&lt;3,KEUZELIJSTEN!$AB$35:$AB$37,IF($F$52&gt;=3,KEUZELIJSTEN!$AB$36:$AB$37))</xm:f>
          </x14:formula1>
          <xm:sqref>D63</xm:sqref>
        </x14:dataValidation>
        <x14:dataValidation type="list" allowBlank="1" showInputMessage="1" showErrorMessage="1">
          <x14:formula1>
            <xm:f>IF($D$21="geschoord skelet",KEUZELIJSTEN!$S$35:$S$40,IF($D$21="ongeschoord skelet",KEUZELIJSTEN!$T$35:$T$38))</xm:f>
          </x14:formula1>
          <xm:sqref>F21</xm:sqref>
        </x14:dataValidation>
        <x14:dataValidation type="list" allowBlank="1" showInputMessage="1" showErrorMessage="1">
          <x14:formula1>
            <xm:f>IF($D$22="kern",KEUZELIJSTEN!$Y$35:$Y$36,IF($D$22="wanden",KEUZELIJSTEN!$W$35:$W$36,IF($D$22="windverbanden",KEUZELIJSTEN!$T$37:$T$38)))</xm:f>
          </x14:formula1>
          <xm:sqref>F22</xm:sqref>
        </x14:dataValidation>
        <x14:dataValidation type="list" allowBlank="1" showInputMessage="1" showErrorMessage="1" prompt="De vloer draagt af op de hoofdliggers, hierdoor is het toepassen van secundaire liggers niet noodzakelijk. Wanneer het toch wenselijk is om secundaire liggers toe te passen is dat hier in te voeren.">
          <x14:formula1>
            <xm:f>IF($O$159="niet",KEUZELIJSTEN!$B$35:$B$36)</xm:f>
          </x14:formula1>
          <xm:sqref>D166</xm:sqref>
        </x14:dataValidation>
        <x14:dataValidation type="list" allowBlank="1" showInputMessage="1" showErrorMessage="1" prompt="De vloer draagt af op de hoofdliggers, hierdoor is het toepassen van secundaire liggers niet noodzakelijk. Wanneer het toch wenselijk is om secundaire liggers toe te passen is dat hier in te voeren.">
          <x14:formula1>
            <xm:f>IF($O$204="niet",KEUZELIJSTEN!$B$35:$B$36)</xm:f>
          </x14:formula1>
          <xm:sqref>D210</xm:sqref>
        </x14:dataValidation>
        <x14:dataValidation type="list" allowBlank="1" showInputMessage="1" showErrorMessage="1">
          <x14:formula1>
            <xm:f>IF($D$243="wanden",KEUZELIJSTEN!$AE$35:$AE$38)</xm:f>
          </x14:formula1>
          <xm:sqref>E243</xm:sqref>
        </x14:dataValidation>
        <x14:dataValidation type="list" allowBlank="1" showInputMessage="1" showErrorMessage="1">
          <x14:formula1>
            <xm:f>IF($D$258="wanden",KEUZELIJSTEN!$AE$35:$AE$38,0)</xm:f>
          </x14:formula1>
          <xm:sqref>E258</xm:sqref>
        </x14:dataValidation>
        <x14:dataValidation type="list" allowBlank="1" showInputMessage="1" showErrorMessage="1">
          <x14:formula1>
            <xm:f>KEUZELIJSTEN!$AI$35:$AI$49</xm:f>
          </x14:formula1>
          <xm:sqref>D180</xm:sqref>
        </x14:dataValidation>
        <x14:dataValidation type="list" allowBlank="1" showInputMessage="1" showErrorMessage="1" prompt="Let op! Er zijn wellicht bouwkundige maatregelen nog i.v.m. akoeschtische eisen van de vloer. Het model houdt hier geen rekening mee.">
          <x14:formula1>
            <xm:f>KEUZELIJSTEN!$AJ$35:$AJ$50</xm:f>
          </x14:formula1>
          <xm:sqref>D135 D90</xm:sqref>
        </x14:dataValidation>
        <x14:dataValidation type="list" allowBlank="1" showInputMessage="1" showErrorMessage="1" prompt="De vloer draagt af op de hoofdliggers, hierdoor is het toepassen van secundaire liggers niet noodzakelijk. Wanneer het toch wenselijk is om secundaire liggers toe te passen is dat hier in te voeren.">
          <x14:formula1>
            <xm:f>IF($O$114="niet",KEUZELIJSTEN!$B$35:$B$36)</xm:f>
          </x14:formula1>
          <xm:sqref>D121</xm:sqref>
        </x14:dataValidation>
        <x14:dataValidation type="list" allowBlank="1" showInputMessage="1" showErrorMessage="1">
          <x14:formula1>
            <xm:f>KEUZELIJSTEN!$AF$35:$AF$42</xm:f>
          </x14:formula1>
          <xm:sqref>E109 E212 E198 E168 E154 E123</xm:sqref>
        </x14:dataValidation>
        <x14:dataValidation type="list" allowBlank="1" showInputMessage="1" showErrorMessage="1">
          <x14:formula1>
            <xm:f>KEUZELIJSTEN!$B$35:$B$36</xm:f>
          </x14:formula1>
          <xm:sqref>D41</xm:sqref>
        </x14:dataValidation>
        <x14:dataValidation type="list" allowBlank="1" showInputMessage="1" showErrorMessage="1" prompt="Vanwege de vorm van een gebouw kan het zijn dat het werkelijke vloeroppervlak ongelijk is aan het oppervlak wat volgt uit de stramienen. Geef hier aan of dit aan de orde is en de waarde van het additionele oppervlak.">
          <x14:formula1>
            <xm:f>IF($E$40="ja",KEUZELIJSTEN!$A$44:$A$53,"")</xm:f>
          </x14:formula1>
          <xm:sqref>F46 F40</xm:sqref>
        </x14:dataValidation>
        <x14:dataValidation type="list" allowBlank="1" showInputMessage="1" showErrorMessage="1" prompt="Vanwege de vorm van een gebouw kan het zijn dat het werkelijke vloeroppervlak ongelijk is aan het oppervlak wat volgt uit de stramienen. Geef hier aan of dit aan de orde is en de waarde van het additionele oppervlak.">
          <x14:formula1>
            <xm:f>KEUZELIJSTEN!$A$44:$A$53</xm:f>
          </x14:formula1>
          <xm:sqref>F33 F27</xm:sqref>
        </x14:dataValidation>
        <x14:dataValidation type="list" allowBlank="1" showInputMessage="1" showErrorMessage="1" prompt="Vanwege de vorm van een gebouw kan het zijn dat het werkelijke vloeroppervlak ongelijk is aan het oppervlak wat volgt uit de stramienen. Geef hier aan of dit aan de orde is en de waarde van het additionele oppervlak.">
          <x14:formula1>
            <xm:f>KEUZELIJSTEN!$B$35:$B$36</xm:f>
          </x14:formula1>
          <xm:sqref>E33 E40 E46 E27</xm:sqref>
        </x14:dataValidation>
        <x14:dataValidation type="list" allowBlank="1" showInputMessage="1" showErrorMessage="1">
          <x14:formula1>
            <xm:f>KEUZELIJSTEN!$P$44:$P$51</xm:f>
          </x14:formula1>
          <xm:sqref>D226</xm:sqref>
        </x14:dataValidation>
        <x14:dataValidation type="list" allowBlank="1" showInputMessage="1" showErrorMessage="1">
          <x14:formula1>
            <xm:f>KEUZELIJSTEN!$AG$35:$AG$42</xm:f>
          </x14:formula1>
          <xm:sqref>E226</xm:sqref>
        </x14:dataValidation>
        <x14:dataValidation type="list" allowBlank="1" showInputMessage="1" showErrorMessage="1">
          <x14:formula1>
            <xm:f>KEUZELIJSTEN!$J$52:$J$54</xm:f>
          </x14:formula1>
          <xm:sqref>E257 E242</xm:sqref>
        </x14:dataValidation>
        <x14:dataValidation type="list" allowBlank="1" showInputMessage="1" showErrorMessage="1">
          <x14:formula1>
            <xm:f>KEUZELIJSTEN!$P$35:$P$41</xm:f>
          </x14:formula1>
          <xm:sqref>D154 D109 D198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
  <sheetViews>
    <sheetView showGridLines="0" workbookViewId="0">
      <selection activeCell="I15" sqref="I15"/>
    </sheetView>
  </sheetViews>
  <sheetFormatPr defaultColWidth="5.83203125" defaultRowHeight="26.25" customHeight="1" x14ac:dyDescent="0.2"/>
  <sheetData>
    <row r="2" spans="1:23" ht="13.5" thickBot="1" x14ac:dyDescent="0.25">
      <c r="B2" s="1040" t="s">
        <v>688</v>
      </c>
      <c r="C2" s="1040"/>
      <c r="D2" s="1040"/>
    </row>
    <row r="3" spans="1:23" ht="14.25" thickTop="1" thickBot="1" x14ac:dyDescent="0.25">
      <c r="B3" s="1048" t="s">
        <v>689</v>
      </c>
      <c r="C3" s="1048"/>
      <c r="D3" s="1048"/>
    </row>
    <row r="4" spans="1:23" ht="26.25" customHeight="1" thickTop="1" thickBot="1" x14ac:dyDescent="0.25">
      <c r="B4" s="1040"/>
      <c r="C4" s="1040"/>
      <c r="D4" s="1880" t="s">
        <v>682</v>
      </c>
      <c r="E4" s="1880"/>
      <c r="F4" s="1040"/>
      <c r="G4" s="1040"/>
      <c r="J4" s="1040"/>
      <c r="K4" s="1040"/>
      <c r="L4" s="1880" t="s">
        <v>683</v>
      </c>
      <c r="M4" s="1880"/>
      <c r="N4" s="1040"/>
      <c r="O4" s="1040"/>
      <c r="R4" s="1040"/>
      <c r="S4" s="1040"/>
      <c r="T4" s="1880" t="s">
        <v>684</v>
      </c>
      <c r="U4" s="1880"/>
      <c r="V4" s="1040"/>
      <c r="W4" s="1040"/>
    </row>
    <row r="5" spans="1:23" ht="26.25" customHeight="1" thickTop="1" x14ac:dyDescent="0.2">
      <c r="A5" s="1041"/>
      <c r="G5" s="1042"/>
      <c r="I5" s="1044"/>
      <c r="O5" s="1045"/>
      <c r="Q5" s="1044"/>
      <c r="S5" s="1044"/>
      <c r="U5" s="1044"/>
      <c r="W5" s="1044"/>
    </row>
    <row r="6" spans="1:23" ht="26.25" customHeight="1" x14ac:dyDescent="0.2">
      <c r="A6" s="1041"/>
      <c r="G6" s="1041"/>
      <c r="I6" s="1044"/>
      <c r="O6" s="1044"/>
      <c r="Q6" s="1044"/>
      <c r="S6" s="1044"/>
      <c r="U6" s="1044"/>
      <c r="W6" s="1044"/>
    </row>
    <row r="7" spans="1:23" ht="26.25" customHeight="1" thickBot="1" x14ac:dyDescent="0.25">
      <c r="A7" s="1041"/>
      <c r="B7" s="1040"/>
      <c r="C7" s="1040"/>
      <c r="D7" s="1040"/>
      <c r="E7" s="1040"/>
      <c r="F7" s="1040"/>
      <c r="G7" s="1043"/>
      <c r="I7" s="1044"/>
      <c r="J7" s="1040"/>
      <c r="K7" s="1040"/>
      <c r="L7" s="1040"/>
      <c r="M7" s="1040"/>
      <c r="N7" s="1040"/>
      <c r="O7" s="1046"/>
      <c r="Q7" s="1044"/>
      <c r="R7" s="1040"/>
      <c r="S7" s="1046"/>
      <c r="T7" s="1047"/>
      <c r="U7" s="1046"/>
      <c r="V7" s="1040"/>
      <c r="W7" s="1046"/>
    </row>
    <row r="8" spans="1:23" ht="12.75" customHeight="1" thickTop="1" x14ac:dyDescent="0.2"/>
    <row r="9" spans="1:23" ht="12.75" x14ac:dyDescent="0.2">
      <c r="B9" t="s">
        <v>687</v>
      </c>
      <c r="J9" t="s">
        <v>694</v>
      </c>
      <c r="R9" t="s">
        <v>692</v>
      </c>
    </row>
    <row r="10" spans="1:23" ht="12.75" x14ac:dyDescent="0.2">
      <c r="B10" t="s">
        <v>690</v>
      </c>
      <c r="J10" t="s">
        <v>691</v>
      </c>
      <c r="R10" t="s">
        <v>693</v>
      </c>
    </row>
  </sheetData>
  <mergeCells count="3">
    <mergeCell ref="T4:U4"/>
    <mergeCell ref="L4:M4"/>
    <mergeCell ref="D4:E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showZeros="0" topLeftCell="F40" zoomScaleNormal="100" workbookViewId="0">
      <selection activeCell="P85" sqref="P85"/>
    </sheetView>
  </sheetViews>
  <sheetFormatPr defaultColWidth="9.33203125" defaultRowHeight="12" x14ac:dyDescent="0.2"/>
  <cols>
    <col min="1" max="1" width="9.33203125" style="144"/>
    <col min="2" max="2" width="34.6640625" style="144" bestFit="1" customWidth="1"/>
    <col min="3" max="3" width="29.6640625" style="144" customWidth="1"/>
    <col min="4" max="5" width="9.33203125" style="144"/>
    <col min="6" max="6" width="33.33203125" style="144" customWidth="1"/>
    <col min="7" max="10" width="15" style="144" customWidth="1"/>
    <col min="11" max="11" width="31.33203125" style="144" customWidth="1"/>
    <col min="12" max="12" width="25.5" style="144" bestFit="1" customWidth="1"/>
    <col min="13" max="14" width="15" style="144" customWidth="1"/>
    <col min="15" max="15" width="33.33203125" style="144" customWidth="1"/>
    <col min="16" max="16" width="15" style="144" customWidth="1"/>
    <col min="17" max="17" width="27.83203125" style="144" customWidth="1"/>
    <col min="18" max="18" width="40.83203125" style="144" bestFit="1" customWidth="1"/>
    <col min="19" max="19" width="6.33203125" style="144" bestFit="1" customWidth="1"/>
    <col min="20" max="20" width="7.1640625" style="144" bestFit="1" customWidth="1"/>
    <col min="21" max="16384" width="9.33203125" style="144"/>
  </cols>
  <sheetData>
    <row r="1" spans="1:27" ht="12.75" thickBot="1" x14ac:dyDescent="0.25">
      <c r="A1" s="50"/>
      <c r="B1" s="50"/>
      <c r="C1" s="50"/>
      <c r="D1" s="50"/>
      <c r="E1" s="50"/>
      <c r="F1" s="50"/>
      <c r="G1" s="50"/>
      <c r="H1" s="50"/>
      <c r="I1" s="50"/>
      <c r="J1" s="50"/>
      <c r="K1" s="50"/>
      <c r="L1" s="50"/>
      <c r="M1" s="50"/>
      <c r="N1" s="50"/>
      <c r="O1" s="122"/>
      <c r="P1" s="64"/>
      <c r="Q1" s="122"/>
      <c r="U1" s="120"/>
      <c r="V1" s="50"/>
      <c r="W1" s="50"/>
      <c r="X1" s="50"/>
      <c r="Y1" s="50"/>
      <c r="Z1" s="50"/>
      <c r="AA1" s="50"/>
    </row>
    <row r="2" spans="1:27" ht="16.5" thickBot="1" x14ac:dyDescent="0.3">
      <c r="A2" s="50"/>
      <c r="B2" s="224" t="s">
        <v>84</v>
      </c>
      <c r="C2" s="225"/>
      <c r="D2" s="56"/>
      <c r="F2" s="185" t="s">
        <v>566</v>
      </c>
      <c r="G2" s="168"/>
      <c r="H2" s="168"/>
      <c r="I2" s="168"/>
      <c r="J2" s="168"/>
      <c r="K2" s="168"/>
      <c r="L2" s="168"/>
      <c r="M2" s="169"/>
      <c r="N2" s="170"/>
      <c r="O2" s="219"/>
      <c r="P2" s="64"/>
      <c r="Q2" s="64"/>
      <c r="R2" s="1730" t="s">
        <v>1060</v>
      </c>
      <c r="S2" s="1734">
        <f>'03_VERD VLOEREN'!C7</f>
        <v>0</v>
      </c>
      <c r="T2" s="247">
        <f>'03_VERD VLOEREN'!D7</f>
        <v>0</v>
      </c>
      <c r="U2" s="171"/>
      <c r="V2" s="172"/>
      <c r="W2" s="172"/>
      <c r="X2" s="172"/>
      <c r="Y2" s="172"/>
      <c r="Z2" s="50"/>
      <c r="AA2" s="50"/>
    </row>
    <row r="3" spans="1:27" x14ac:dyDescent="0.2">
      <c r="A3" s="50"/>
      <c r="B3" s="220" t="s">
        <v>1063</v>
      </c>
      <c r="C3" s="178">
        <f>'01_ALGEMEEN'!D62</f>
        <v>5.4</v>
      </c>
      <c r="D3" s="78"/>
      <c r="F3" s="173" t="s">
        <v>205</v>
      </c>
      <c r="G3" s="174" t="s">
        <v>240</v>
      </c>
      <c r="H3" s="174" t="s">
        <v>88</v>
      </c>
      <c r="I3" s="174" t="s">
        <v>142</v>
      </c>
      <c r="J3" s="174" t="s">
        <v>89</v>
      </c>
      <c r="K3" s="174" t="s">
        <v>202</v>
      </c>
      <c r="L3" s="174" t="s">
        <v>1066</v>
      </c>
      <c r="M3" s="175" t="s">
        <v>80</v>
      </c>
      <c r="N3" s="170"/>
      <c r="O3" s="1733" t="s">
        <v>1062</v>
      </c>
      <c r="P3" s="1735" t="s">
        <v>1059</v>
      </c>
      <c r="Q3" s="1211"/>
      <c r="R3" s="1212" t="str">
        <f>'03_VERD VLOEREN'!B8</f>
        <v>rekenwaarde rustend permanent</v>
      </c>
      <c r="S3" s="344">
        <f>'01_ALGEMEEN'!P73</f>
        <v>0</v>
      </c>
      <c r="T3" s="63" t="str">
        <f>'03_VERD VLOEREN'!D8</f>
        <v>kN/m2</v>
      </c>
      <c r="U3" s="171"/>
      <c r="V3" s="172"/>
      <c r="W3" s="172"/>
      <c r="X3" s="172"/>
      <c r="Y3" s="172"/>
      <c r="Z3" s="50"/>
      <c r="AA3" s="50"/>
    </row>
    <row r="4" spans="1:27" x14ac:dyDescent="0.2">
      <c r="A4" s="50"/>
      <c r="B4" s="220" t="s">
        <v>1061</v>
      </c>
      <c r="C4" s="178">
        <f>S8</f>
        <v>5</v>
      </c>
      <c r="D4" s="78"/>
      <c r="F4" s="179" t="s">
        <v>42</v>
      </c>
      <c r="G4" s="234">
        <f>INDEX(F12:H16,MATCH($C$4,F12:F16,0),MATCH($C$3,F12:H12,0))</f>
        <v>200</v>
      </c>
      <c r="H4" s="234">
        <f>INDEX(F18:H22,MATCH($C$4,F18:F22,0),MATCH($C$3,F18:H18,0))</f>
        <v>303</v>
      </c>
      <c r="I4" s="234"/>
      <c r="J4" s="234"/>
      <c r="K4" s="235">
        <f>INDEX(F24:H28,MATCH($C$4,F24:F28,0),MATCH($C$3,F24:H24,0))</f>
        <v>2.9249999999999998</v>
      </c>
      <c r="L4" s="234">
        <f>INDEX(K18:M22,MATCH($C$4,K18:K22,0),MATCH($C$3,K18:M18,0))</f>
        <v>3</v>
      </c>
      <c r="M4" s="236">
        <f>INDEX(K12:M16,MATCH($C$4,K12:K16,0),MATCH($C$3,K12:M12,0))</f>
        <v>144</v>
      </c>
      <c r="O4" s="242" t="s">
        <v>42</v>
      </c>
      <c r="P4" s="70">
        <v>4</v>
      </c>
      <c r="Q4" s="243" t="s">
        <v>16</v>
      </c>
      <c r="R4" s="64" t="s">
        <v>1059</v>
      </c>
      <c r="S4" s="176">
        <f>VLOOKUP(C5,O4:P7,2,0)</f>
        <v>4</v>
      </c>
      <c r="T4" s="78" t="str">
        <f>'03_VERD VLOEREN'!D9</f>
        <v>kN/m2</v>
      </c>
      <c r="Y4" s="50"/>
      <c r="Z4" s="50"/>
      <c r="AA4" s="50"/>
    </row>
    <row r="5" spans="1:27" x14ac:dyDescent="0.2">
      <c r="A5" s="50"/>
      <c r="B5" s="220" t="s">
        <v>1064</v>
      </c>
      <c r="C5" s="178" t="str">
        <f>'01_ALGEMEEN'!D78</f>
        <v>kanaalplaatvloer</v>
      </c>
      <c r="D5" s="78"/>
      <c r="F5" s="179" t="s">
        <v>85</v>
      </c>
      <c r="G5" s="234">
        <f>INDEX(O42:Q46,MATCH($C$4,O42:O46,0),MATCH($C$3,O42:Q42,0))</f>
        <v>230</v>
      </c>
      <c r="H5" s="234">
        <f>INDEX(F42:H46,MATCH($C$4,F42:F46,0),MATCH($C$3,F42:H42,0))</f>
        <v>182</v>
      </c>
      <c r="I5" s="234"/>
      <c r="J5" s="234">
        <f>INDEX(K42:M46,MATCH($C$4,K42:K46,0),MATCH($C$3,K42:M42,0))</f>
        <v>135.19999999999999</v>
      </c>
      <c r="K5" s="235">
        <f>INDEX(F48:H52,MATCH($C$4,F48:F52,0),MATCH($C$3,F48:H48,0))</f>
        <v>5.85</v>
      </c>
      <c r="L5" s="235">
        <f>INDEX(K36:M40,MATCH($C$4,K36:K40,0),MATCH($C$3,K36:M36,0))</f>
        <v>1</v>
      </c>
      <c r="M5" s="236"/>
      <c r="O5" s="242" t="s">
        <v>85</v>
      </c>
      <c r="P5" s="70">
        <v>3</v>
      </c>
      <c r="Q5" s="243" t="s">
        <v>16</v>
      </c>
      <c r="R5" s="64" t="str">
        <f>'03_VERD VLOEREN'!B10</f>
        <v>rekenwaarde opgelegd</v>
      </c>
      <c r="S5" s="248">
        <f>'01_ALGEMEEN'!P74</f>
        <v>3.375</v>
      </c>
      <c r="T5" s="78" t="str">
        <f>'03_VERD VLOEREN'!D10</f>
        <v>kN/m2</v>
      </c>
      <c r="Y5" s="50"/>
      <c r="Z5" s="50"/>
      <c r="AA5" s="50"/>
    </row>
    <row r="6" spans="1:27" ht="11.25" customHeight="1" x14ac:dyDescent="0.2">
      <c r="A6" s="180"/>
      <c r="B6" s="220" t="s">
        <v>1065</v>
      </c>
      <c r="C6" s="181">
        <f>VLOOKUP($C$5,F4:M7,2,0)</f>
        <v>200</v>
      </c>
      <c r="D6" s="78" t="s">
        <v>130</v>
      </c>
      <c r="F6" s="179" t="s">
        <v>86</v>
      </c>
      <c r="G6" s="234">
        <f>INDEX(K59:M63,MATCH($C$4,K59:K63,0),MATCH($C$3,K59:M59,0))</f>
        <v>350</v>
      </c>
      <c r="H6" s="234">
        <f>INDEX(F65:H69,MATCH($C$4,F65:F69,0),MATCH($C$3,F65:H65,0))</f>
        <v>200</v>
      </c>
      <c r="I6" s="234"/>
      <c r="J6" s="234"/>
      <c r="K6" s="235">
        <f>INDEX(F71:H75,MATCH($C$4,F71:F75,0),MATCH($C$3,F71:H71,0))</f>
        <v>2.9249999999999998</v>
      </c>
      <c r="L6" s="235"/>
      <c r="M6" s="236"/>
      <c r="O6" s="242" t="s">
        <v>86</v>
      </c>
      <c r="P6" s="70">
        <v>3</v>
      </c>
      <c r="Q6" s="243" t="s">
        <v>16</v>
      </c>
      <c r="R6" s="64" t="str">
        <f>'03_VERD VLOEREN'!B11</f>
        <v>Totale belasting</v>
      </c>
      <c r="S6" s="248">
        <f>SUM(S3:S5)</f>
        <v>7.375</v>
      </c>
      <c r="T6" s="78" t="str">
        <f>'03_VERD VLOEREN'!D11</f>
        <v>kN/m2</v>
      </c>
      <c r="Y6" s="50"/>
      <c r="Z6" s="50"/>
      <c r="AA6" s="50"/>
    </row>
    <row r="7" spans="1:27" ht="14.25" thickBot="1" x14ac:dyDescent="0.25">
      <c r="A7" s="64"/>
      <c r="B7" s="220" t="s">
        <v>88</v>
      </c>
      <c r="C7" s="181">
        <f>VLOOKUP($C$5,F4:M7,3,0)</f>
        <v>303</v>
      </c>
      <c r="D7" s="78" t="s">
        <v>537</v>
      </c>
      <c r="F7" s="183" t="s">
        <v>618</v>
      </c>
      <c r="G7" s="237">
        <f>INDEX(F82:H86,MATCH($C$4,F82:F86,0),MATCH($C$3,F82:H82,0))</f>
        <v>150</v>
      </c>
      <c r="H7" s="237"/>
      <c r="I7" s="237">
        <f>INDEX(K82:M86,MATCH($C$4,K82:K86,0),MATCH($C$3,K82:M82,0))</f>
        <v>360</v>
      </c>
      <c r="J7" s="237"/>
      <c r="K7" s="238"/>
      <c r="L7" s="237">
        <f>INDEX(O82:Q86,MATCH($C$4,O82:O86,0),MATCH($C$3,O82:Q82,0))</f>
        <v>8</v>
      </c>
      <c r="M7" s="239"/>
      <c r="O7" s="244" t="s">
        <v>618</v>
      </c>
      <c r="P7" s="245">
        <v>6.5</v>
      </c>
      <c r="Q7" s="246" t="s">
        <v>16</v>
      </c>
      <c r="R7" s="82">
        <f>'03_VERD VLOEREN'!B12</f>
        <v>0</v>
      </c>
      <c r="S7" s="249">
        <f>'03_VERD VLOEREN'!C12</f>
        <v>0</v>
      </c>
      <c r="T7" s="182">
        <f>'03_VERD VLOEREN'!D12</f>
        <v>0</v>
      </c>
      <c r="Y7" s="50"/>
      <c r="Z7" s="50"/>
      <c r="AA7" s="50"/>
    </row>
    <row r="8" spans="1:27" ht="13.5" x14ac:dyDescent="0.2">
      <c r="A8" s="177"/>
      <c r="B8" s="220" t="s">
        <v>142</v>
      </c>
      <c r="C8" s="181">
        <f>VLOOKUP($C$5,F4:M7,4,0)+VLOOKUP($C$5,F4:M7,5,0)+VLOOKUP($C$5,F4:M7,8,0)</f>
        <v>144</v>
      </c>
      <c r="D8" s="78" t="s">
        <v>537</v>
      </c>
      <c r="O8" s="64"/>
      <c r="P8" s="122"/>
      <c r="Q8" s="64"/>
      <c r="R8" s="1730" t="s">
        <v>1061</v>
      </c>
      <c r="S8" s="1731">
        <f>MROUND(S6,5)</f>
        <v>5</v>
      </c>
      <c r="T8" s="1732" t="str">
        <f>'03_VERD VLOEREN'!D13</f>
        <v>kN/m2</v>
      </c>
      <c r="Y8" s="50"/>
      <c r="Z8" s="50"/>
      <c r="AA8" s="50"/>
    </row>
    <row r="9" spans="1:27" ht="12.75" thickBot="1" x14ac:dyDescent="0.25">
      <c r="B9" s="221"/>
      <c r="C9" s="181"/>
      <c r="D9" s="78"/>
    </row>
    <row r="10" spans="1:27" ht="14.25" thickBot="1" x14ac:dyDescent="0.25">
      <c r="B10" s="221" t="s">
        <v>202</v>
      </c>
      <c r="C10" s="184">
        <f>VLOOKUP($C$5,F4:M7,6,0)</f>
        <v>2.9249999999999998</v>
      </c>
      <c r="D10" s="78" t="s">
        <v>537</v>
      </c>
      <c r="F10" s="231" t="s">
        <v>241</v>
      </c>
      <c r="G10" s="232"/>
      <c r="H10" s="232"/>
      <c r="I10" s="232"/>
      <c r="J10" s="232"/>
      <c r="K10" s="232"/>
      <c r="L10" s="232"/>
      <c r="M10" s="232"/>
      <c r="N10" s="232"/>
      <c r="O10" s="232"/>
      <c r="P10" s="232"/>
      <c r="Q10" s="233"/>
      <c r="R10" s="147"/>
      <c r="S10" s="147"/>
      <c r="T10" s="147"/>
      <c r="U10" s="147"/>
      <c r="V10" s="147"/>
      <c r="W10" s="147"/>
      <c r="X10" s="147"/>
      <c r="Y10" s="147"/>
      <c r="Z10" s="147"/>
    </row>
    <row r="11" spans="1:27" ht="13.5" x14ac:dyDescent="0.2">
      <c r="B11" s="220" t="s">
        <v>91</v>
      </c>
      <c r="C11" s="181">
        <f>VLOOKUP($C$5,F4:M7,7,0)</f>
        <v>3</v>
      </c>
      <c r="D11" s="78" t="s">
        <v>537</v>
      </c>
      <c r="R11" s="147"/>
      <c r="S11" s="147"/>
      <c r="T11" s="147"/>
      <c r="U11" s="147"/>
      <c r="V11" s="147"/>
      <c r="W11" s="147"/>
      <c r="X11" s="147"/>
      <c r="Y11" s="147"/>
      <c r="Z11" s="147"/>
    </row>
    <row r="12" spans="1:27" x14ac:dyDescent="0.2">
      <c r="B12" s="222"/>
      <c r="C12" s="68"/>
      <c r="D12" s="223"/>
      <c r="F12" s="278" t="s">
        <v>242</v>
      </c>
      <c r="G12" s="302">
        <v>5.4</v>
      </c>
      <c r="H12" s="303">
        <v>7.2</v>
      </c>
      <c r="I12" s="150"/>
      <c r="J12" s="150"/>
      <c r="K12" s="278" t="s">
        <v>243</v>
      </c>
      <c r="L12" s="302">
        <v>5.4</v>
      </c>
      <c r="M12" s="303">
        <v>7.2</v>
      </c>
      <c r="N12" s="150"/>
      <c r="O12" s="278" t="s">
        <v>244</v>
      </c>
      <c r="P12" s="302">
        <v>5.4</v>
      </c>
      <c r="Q12" s="303">
        <v>7.2</v>
      </c>
      <c r="R12" s="147"/>
      <c r="S12" s="147"/>
      <c r="T12" s="147"/>
      <c r="U12" s="147"/>
      <c r="V12" s="147"/>
      <c r="W12" s="147"/>
      <c r="X12" s="147"/>
      <c r="Y12" s="147"/>
      <c r="Z12" s="147"/>
    </row>
    <row r="13" spans="1:27" x14ac:dyDescent="0.2">
      <c r="F13" s="279">
        <v>5</v>
      </c>
      <c r="G13" s="149">
        <v>200</v>
      </c>
      <c r="H13" s="226">
        <v>200</v>
      </c>
      <c r="I13" s="150"/>
      <c r="J13" s="150"/>
      <c r="K13" s="279">
        <v>5</v>
      </c>
      <c r="L13" s="149">
        <v>144</v>
      </c>
      <c r="M13" s="226">
        <v>144</v>
      </c>
      <c r="N13" s="150"/>
      <c r="O13" s="279">
        <v>5</v>
      </c>
      <c r="P13" s="149">
        <v>280</v>
      </c>
      <c r="Q13" s="226">
        <v>280</v>
      </c>
      <c r="R13" s="147"/>
      <c r="S13" s="147"/>
      <c r="T13" s="147"/>
      <c r="U13" s="147"/>
      <c r="V13" s="147"/>
      <c r="W13" s="147"/>
      <c r="X13" s="147"/>
      <c r="Y13" s="147"/>
      <c r="Z13" s="147"/>
    </row>
    <row r="14" spans="1:27" x14ac:dyDescent="0.2">
      <c r="F14" s="279">
        <v>10</v>
      </c>
      <c r="G14" s="149">
        <v>200</v>
      </c>
      <c r="H14" s="226">
        <v>200</v>
      </c>
      <c r="I14" s="150"/>
      <c r="J14" s="150"/>
      <c r="K14" s="279">
        <v>10</v>
      </c>
      <c r="L14" s="149">
        <v>144</v>
      </c>
      <c r="M14" s="226">
        <v>144</v>
      </c>
      <c r="N14" s="150"/>
      <c r="O14" s="279">
        <v>10</v>
      </c>
      <c r="P14" s="149">
        <v>280</v>
      </c>
      <c r="Q14" s="226">
        <v>280</v>
      </c>
      <c r="R14" s="147"/>
      <c r="S14" s="147"/>
      <c r="T14" s="147"/>
      <c r="U14" s="147"/>
      <c r="V14" s="147"/>
      <c r="W14" s="147"/>
      <c r="X14" s="147"/>
      <c r="Y14" s="147"/>
      <c r="Z14" s="147"/>
    </row>
    <row r="15" spans="1:27" x14ac:dyDescent="0.2">
      <c r="F15" s="279">
        <v>15</v>
      </c>
      <c r="G15" s="149">
        <v>200</v>
      </c>
      <c r="H15" s="226">
        <v>260</v>
      </c>
      <c r="I15" s="150"/>
      <c r="J15" s="150"/>
      <c r="K15" s="279">
        <v>15</v>
      </c>
      <c r="L15" s="149">
        <v>144</v>
      </c>
      <c r="M15" s="226">
        <v>144</v>
      </c>
      <c r="N15" s="150"/>
      <c r="O15" s="279">
        <v>15</v>
      </c>
      <c r="P15" s="149">
        <v>280</v>
      </c>
      <c r="Q15" s="226">
        <v>340</v>
      </c>
      <c r="R15" s="147"/>
      <c r="S15" s="147"/>
      <c r="T15" s="147"/>
      <c r="U15" s="147"/>
      <c r="V15" s="147"/>
      <c r="W15" s="147"/>
      <c r="X15" s="147"/>
      <c r="Y15" s="147"/>
      <c r="Z15" s="147"/>
    </row>
    <row r="16" spans="1:27" x14ac:dyDescent="0.2">
      <c r="F16" s="280">
        <v>20</v>
      </c>
      <c r="G16" s="227">
        <v>200</v>
      </c>
      <c r="H16" s="228">
        <v>260</v>
      </c>
      <c r="I16" s="150"/>
      <c r="J16" s="150"/>
      <c r="K16" s="280">
        <v>20</v>
      </c>
      <c r="L16" s="227">
        <v>144</v>
      </c>
      <c r="M16" s="228">
        <v>144</v>
      </c>
      <c r="N16" s="150"/>
      <c r="O16" s="280">
        <v>20</v>
      </c>
      <c r="P16" s="227">
        <v>280</v>
      </c>
      <c r="Q16" s="228">
        <v>340</v>
      </c>
      <c r="R16" s="147"/>
      <c r="S16" s="147"/>
      <c r="T16" s="147"/>
      <c r="U16" s="147"/>
      <c r="V16" s="147"/>
      <c r="W16" s="147"/>
      <c r="X16" s="147"/>
      <c r="Y16" s="147"/>
      <c r="Z16" s="147"/>
    </row>
    <row r="17" spans="6:26" x14ac:dyDescent="0.2">
      <c r="F17" s="150"/>
      <c r="G17" s="150"/>
      <c r="H17" s="150"/>
      <c r="I17" s="150"/>
      <c r="J17" s="150"/>
      <c r="K17" s="150"/>
      <c r="L17" s="150"/>
      <c r="M17" s="150"/>
      <c r="N17" s="150"/>
      <c r="O17" s="150"/>
      <c r="P17" s="150"/>
      <c r="Q17" s="150"/>
      <c r="R17" s="147"/>
      <c r="S17" s="147"/>
      <c r="T17" s="147"/>
      <c r="U17" s="147"/>
      <c r="V17" s="147"/>
      <c r="W17" s="147"/>
      <c r="X17" s="147"/>
      <c r="Y17" s="147"/>
      <c r="Z17" s="147"/>
    </row>
    <row r="18" spans="6:26" x14ac:dyDescent="0.2">
      <c r="F18" s="278" t="s">
        <v>245</v>
      </c>
      <c r="G18" s="302">
        <v>5.4</v>
      </c>
      <c r="H18" s="303">
        <v>7.2</v>
      </c>
      <c r="I18" s="150"/>
      <c r="J18" s="150"/>
      <c r="K18" s="278" t="s">
        <v>100</v>
      </c>
      <c r="L18" s="302">
        <v>5.4</v>
      </c>
      <c r="M18" s="303">
        <v>7.2</v>
      </c>
      <c r="N18" s="150"/>
      <c r="O18" s="278" t="s">
        <v>246</v>
      </c>
      <c r="P18" s="302">
        <v>5.4</v>
      </c>
      <c r="Q18" s="303">
        <v>7.2</v>
      </c>
      <c r="R18" s="147"/>
      <c r="S18" s="147"/>
      <c r="T18" s="147"/>
      <c r="U18" s="147"/>
      <c r="V18" s="147"/>
      <c r="W18" s="147"/>
      <c r="X18" s="147"/>
      <c r="Y18" s="147"/>
      <c r="Z18" s="147"/>
    </row>
    <row r="19" spans="6:26" x14ac:dyDescent="0.2">
      <c r="F19" s="279">
        <v>5</v>
      </c>
      <c r="G19" s="149">
        <v>303</v>
      </c>
      <c r="H19" s="226">
        <v>303</v>
      </c>
      <c r="I19" s="150"/>
      <c r="J19" s="150"/>
      <c r="K19" s="279">
        <v>5</v>
      </c>
      <c r="L19" s="149">
        <v>3</v>
      </c>
      <c r="M19" s="226">
        <v>3</v>
      </c>
      <c r="N19" s="150"/>
      <c r="O19" s="279">
        <v>5</v>
      </c>
      <c r="P19" s="149">
        <v>340</v>
      </c>
      <c r="Q19" s="226">
        <v>340</v>
      </c>
      <c r="R19" s="147"/>
      <c r="S19" s="147"/>
      <c r="T19" s="147"/>
      <c r="U19" s="147"/>
      <c r="V19" s="147"/>
      <c r="W19" s="147"/>
      <c r="X19" s="147"/>
      <c r="Y19" s="147"/>
      <c r="Z19" s="147"/>
    </row>
    <row r="20" spans="6:26" x14ac:dyDescent="0.2">
      <c r="F20" s="279">
        <v>10</v>
      </c>
      <c r="G20" s="149">
        <v>303</v>
      </c>
      <c r="H20" s="226">
        <v>303</v>
      </c>
      <c r="I20" s="150"/>
      <c r="J20" s="150"/>
      <c r="K20" s="279">
        <v>10</v>
      </c>
      <c r="L20" s="149">
        <v>3</v>
      </c>
      <c r="M20" s="226">
        <v>3</v>
      </c>
      <c r="N20" s="150"/>
      <c r="O20" s="279">
        <v>10</v>
      </c>
      <c r="P20" s="149">
        <v>340</v>
      </c>
      <c r="Q20" s="226">
        <v>340</v>
      </c>
      <c r="R20" s="147"/>
      <c r="S20" s="147"/>
      <c r="T20" s="147"/>
      <c r="U20" s="147"/>
      <c r="V20" s="147"/>
      <c r="W20" s="147"/>
      <c r="X20" s="147"/>
      <c r="Y20" s="147"/>
      <c r="Z20" s="147"/>
    </row>
    <row r="21" spans="6:26" x14ac:dyDescent="0.2">
      <c r="F21" s="279">
        <v>15</v>
      </c>
      <c r="G21" s="149">
        <v>303</v>
      </c>
      <c r="H21" s="226">
        <v>376</v>
      </c>
      <c r="I21" s="150"/>
      <c r="J21" s="150"/>
      <c r="K21" s="279">
        <v>15</v>
      </c>
      <c r="L21" s="149">
        <v>3</v>
      </c>
      <c r="M21" s="226">
        <v>3</v>
      </c>
      <c r="N21" s="150"/>
      <c r="O21" s="279">
        <v>15</v>
      </c>
      <c r="P21" s="149">
        <v>340</v>
      </c>
      <c r="Q21" s="226">
        <v>400</v>
      </c>
      <c r="R21" s="147"/>
      <c r="S21" s="147"/>
      <c r="T21" s="147"/>
      <c r="U21" s="147"/>
      <c r="V21" s="147"/>
      <c r="W21" s="147"/>
      <c r="X21" s="147"/>
      <c r="Y21" s="147"/>
      <c r="Z21" s="147"/>
    </row>
    <row r="22" spans="6:26" x14ac:dyDescent="0.2">
      <c r="F22" s="280">
        <v>20</v>
      </c>
      <c r="G22" s="227">
        <v>303</v>
      </c>
      <c r="H22" s="228">
        <v>376</v>
      </c>
      <c r="I22" s="150"/>
      <c r="J22" s="150"/>
      <c r="K22" s="280">
        <v>20</v>
      </c>
      <c r="L22" s="227">
        <v>3</v>
      </c>
      <c r="M22" s="228">
        <v>3</v>
      </c>
      <c r="N22" s="150"/>
      <c r="O22" s="280">
        <v>20</v>
      </c>
      <c r="P22" s="227">
        <v>340</v>
      </c>
      <c r="Q22" s="228">
        <v>400</v>
      </c>
      <c r="R22" s="147"/>
      <c r="S22" s="147"/>
      <c r="T22" s="147"/>
      <c r="U22" s="147"/>
      <c r="V22" s="147"/>
      <c r="W22" s="147"/>
      <c r="X22" s="147"/>
      <c r="Y22" s="147"/>
      <c r="Z22" s="147"/>
    </row>
    <row r="23" spans="6:26" x14ac:dyDescent="0.2">
      <c r="F23" s="150"/>
      <c r="G23" s="150"/>
      <c r="H23" s="150"/>
      <c r="I23" s="150"/>
      <c r="J23" s="150"/>
      <c r="K23" s="150"/>
      <c r="L23" s="150"/>
      <c r="M23" s="150"/>
      <c r="N23" s="150"/>
      <c r="O23" s="150"/>
      <c r="P23" s="150"/>
      <c r="Q23" s="150"/>
      <c r="R23" s="147"/>
      <c r="S23" s="147"/>
      <c r="T23" s="147"/>
      <c r="U23" s="147"/>
      <c r="V23" s="147"/>
      <c r="W23" s="147"/>
      <c r="X23" s="147"/>
      <c r="Y23" s="147"/>
      <c r="Z23" s="147"/>
    </row>
    <row r="24" spans="6:26" x14ac:dyDescent="0.2">
      <c r="F24" s="278" t="s">
        <v>247</v>
      </c>
      <c r="G24" s="302">
        <v>5.4</v>
      </c>
      <c r="H24" s="303">
        <v>7.2</v>
      </c>
      <c r="I24" s="150"/>
      <c r="J24" s="150"/>
      <c r="K24" s="278" t="s">
        <v>197</v>
      </c>
      <c r="L24" s="302">
        <v>5.4</v>
      </c>
      <c r="M24" s="303">
        <v>7.2</v>
      </c>
      <c r="N24" s="150"/>
      <c r="O24" s="71" t="s">
        <v>2</v>
      </c>
      <c r="P24" s="72">
        <v>7800</v>
      </c>
      <c r="Q24" s="73" t="s">
        <v>137</v>
      </c>
      <c r="R24" s="147"/>
      <c r="S24" s="147"/>
      <c r="T24" s="147"/>
      <c r="U24" s="147"/>
      <c r="V24" s="147"/>
      <c r="W24" s="147"/>
      <c r="X24" s="147"/>
      <c r="Y24" s="147"/>
      <c r="Z24" s="147"/>
    </row>
    <row r="25" spans="6:26" x14ac:dyDescent="0.2">
      <c r="F25" s="279">
        <v>5</v>
      </c>
      <c r="G25" s="133">
        <f>(L25*$P$25)/10^6*$P$24/$P$26</f>
        <v>2.9249999999999998</v>
      </c>
      <c r="H25" s="977">
        <f>(M25*$P$25)/10^6*$P$24/$P$26</f>
        <v>6.8250000000000002</v>
      </c>
      <c r="I25" s="150"/>
      <c r="J25" s="150"/>
      <c r="K25" s="279">
        <v>5</v>
      </c>
      <c r="L25" s="149">
        <v>3</v>
      </c>
      <c r="M25" s="226">
        <v>7</v>
      </c>
      <c r="N25" s="150"/>
      <c r="O25" s="71" t="s">
        <v>248</v>
      </c>
      <c r="P25" s="72">
        <v>150</v>
      </c>
      <c r="Q25" s="73" t="s">
        <v>128</v>
      </c>
      <c r="R25" s="147"/>
      <c r="S25" s="147"/>
      <c r="T25" s="147"/>
      <c r="U25" s="147"/>
      <c r="V25" s="147"/>
      <c r="W25" s="147"/>
      <c r="X25" s="147"/>
      <c r="Y25" s="147"/>
      <c r="Z25" s="147"/>
    </row>
    <row r="26" spans="6:26" x14ac:dyDescent="0.2">
      <c r="F26" s="279">
        <v>10</v>
      </c>
      <c r="G26" s="133">
        <f t="shared" ref="G26:H28" si="0">(L26*$P$25)/10^6*$P$24/$P$26</f>
        <v>2.9249999999999998</v>
      </c>
      <c r="H26" s="977">
        <f t="shared" si="0"/>
        <v>6.8250000000000002</v>
      </c>
      <c r="I26" s="150"/>
      <c r="J26" s="150"/>
      <c r="K26" s="279">
        <v>10</v>
      </c>
      <c r="L26" s="149">
        <v>3</v>
      </c>
      <c r="M26" s="226">
        <v>7</v>
      </c>
      <c r="N26" s="150"/>
      <c r="O26" s="71" t="s">
        <v>190</v>
      </c>
      <c r="P26" s="72">
        <v>1.2</v>
      </c>
      <c r="Q26" s="73" t="s">
        <v>17</v>
      </c>
      <c r="R26" s="147"/>
      <c r="S26" s="147"/>
      <c r="T26" s="147"/>
      <c r="U26" s="147"/>
      <c r="V26" s="147"/>
      <c r="W26" s="147"/>
      <c r="X26" s="147"/>
      <c r="Y26" s="147"/>
      <c r="Z26" s="147"/>
    </row>
    <row r="27" spans="6:26" x14ac:dyDescent="0.2">
      <c r="F27" s="279">
        <v>15</v>
      </c>
      <c r="G27" s="133">
        <f t="shared" si="0"/>
        <v>4.8750000000000009</v>
      </c>
      <c r="H27" s="977">
        <f t="shared" si="0"/>
        <v>6.8250000000000002</v>
      </c>
      <c r="I27" s="150"/>
      <c r="J27" s="150"/>
      <c r="K27" s="279">
        <v>15</v>
      </c>
      <c r="L27" s="149">
        <v>5</v>
      </c>
      <c r="M27" s="226">
        <v>7</v>
      </c>
      <c r="N27" s="150"/>
      <c r="O27" s="150"/>
      <c r="P27" s="150"/>
      <c r="Q27" s="150"/>
      <c r="R27" s="147"/>
      <c r="S27" s="147"/>
      <c r="T27" s="147"/>
      <c r="U27" s="147"/>
      <c r="V27" s="147"/>
      <c r="W27" s="147"/>
      <c r="X27" s="147"/>
      <c r="Y27" s="147"/>
      <c r="Z27" s="147"/>
    </row>
    <row r="28" spans="6:26" x14ac:dyDescent="0.2">
      <c r="F28" s="280">
        <v>20</v>
      </c>
      <c r="G28" s="978">
        <f t="shared" si="0"/>
        <v>6.8250000000000002</v>
      </c>
      <c r="H28" s="979">
        <f t="shared" si="0"/>
        <v>8.7750000000000021</v>
      </c>
      <c r="I28" s="150"/>
      <c r="J28" s="150"/>
      <c r="K28" s="280">
        <v>20</v>
      </c>
      <c r="L28" s="227">
        <v>7</v>
      </c>
      <c r="M28" s="228">
        <v>9</v>
      </c>
      <c r="N28" s="150"/>
      <c r="O28" s="150"/>
      <c r="P28" s="150"/>
      <c r="Q28" s="150"/>
      <c r="R28" s="147"/>
      <c r="S28" s="147"/>
      <c r="T28" s="147"/>
      <c r="U28" s="147"/>
      <c r="V28" s="147"/>
      <c r="W28" s="147"/>
      <c r="X28" s="147"/>
      <c r="Y28" s="147"/>
      <c r="Z28" s="147"/>
    </row>
    <row r="29" spans="6:26" x14ac:dyDescent="0.2">
      <c r="R29" s="147"/>
      <c r="S29" s="147"/>
      <c r="T29" s="147"/>
      <c r="U29" s="147"/>
      <c r="V29" s="147"/>
      <c r="W29" s="147"/>
      <c r="X29" s="147"/>
      <c r="Y29" s="147"/>
      <c r="Z29" s="147"/>
    </row>
    <row r="30" spans="6:26" x14ac:dyDescent="0.2">
      <c r="R30" s="147"/>
      <c r="S30" s="147"/>
      <c r="T30" s="147"/>
      <c r="U30" s="147"/>
      <c r="V30" s="147"/>
      <c r="W30" s="147"/>
      <c r="X30" s="147"/>
      <c r="Y30" s="147"/>
      <c r="Z30" s="147"/>
    </row>
    <row r="31" spans="6:26" x14ac:dyDescent="0.2">
      <c r="F31" s="144" t="s">
        <v>187</v>
      </c>
      <c r="R31" s="147"/>
      <c r="S31" s="147"/>
      <c r="T31" s="147"/>
      <c r="U31" s="147"/>
      <c r="V31" s="147"/>
      <c r="W31" s="147"/>
      <c r="X31" s="147"/>
      <c r="Y31" s="147"/>
      <c r="Z31" s="147"/>
    </row>
    <row r="32" spans="6:26" x14ac:dyDescent="0.2">
      <c r="F32" s="144" t="s">
        <v>188</v>
      </c>
      <c r="R32" s="147"/>
      <c r="S32" s="147"/>
      <c r="T32" s="147"/>
      <c r="U32" s="147"/>
      <c r="V32" s="147"/>
      <c r="W32" s="147"/>
      <c r="X32" s="147"/>
      <c r="Y32" s="147"/>
      <c r="Z32" s="147"/>
    </row>
    <row r="33" spans="6:26" ht="12.75" thickBot="1" x14ac:dyDescent="0.25">
      <c r="R33" s="147"/>
      <c r="S33" s="147"/>
      <c r="T33" s="147"/>
      <c r="U33" s="147"/>
      <c r="V33" s="147"/>
      <c r="W33" s="147"/>
      <c r="X33" s="147"/>
      <c r="Y33" s="147"/>
      <c r="Z33" s="147"/>
    </row>
    <row r="34" spans="6:26" ht="12.75" thickBot="1" x14ac:dyDescent="0.25">
      <c r="F34" s="231" t="s">
        <v>249</v>
      </c>
      <c r="G34" s="232"/>
      <c r="H34" s="232"/>
      <c r="I34" s="232"/>
      <c r="J34" s="232"/>
      <c r="K34" s="232"/>
      <c r="L34" s="232"/>
      <c r="M34" s="232"/>
      <c r="N34" s="232"/>
      <c r="O34" s="232"/>
      <c r="P34" s="232"/>
      <c r="Q34" s="233"/>
      <c r="R34" s="147"/>
      <c r="S34" s="147"/>
      <c r="T34" s="147"/>
      <c r="U34" s="147"/>
      <c r="V34" s="147"/>
      <c r="W34" s="147"/>
      <c r="X34" s="147"/>
      <c r="Y34" s="147"/>
      <c r="Z34" s="147"/>
    </row>
    <row r="35" spans="6:26" x14ac:dyDescent="0.2">
      <c r="R35" s="147"/>
      <c r="S35" s="147"/>
      <c r="T35" s="147"/>
      <c r="U35" s="147"/>
      <c r="V35" s="147"/>
      <c r="W35" s="147"/>
      <c r="X35" s="147"/>
      <c r="Y35" s="147"/>
      <c r="Z35" s="147"/>
    </row>
    <row r="36" spans="6:26" x14ac:dyDescent="0.2">
      <c r="F36" s="278" t="s">
        <v>141</v>
      </c>
      <c r="G36" s="302">
        <v>5.4</v>
      </c>
      <c r="H36" s="303">
        <v>7.2</v>
      </c>
      <c r="I36" s="150"/>
      <c r="J36" s="150"/>
      <c r="K36" s="278" t="s">
        <v>250</v>
      </c>
      <c r="L36" s="302">
        <v>5.4</v>
      </c>
      <c r="M36" s="303">
        <v>7.2</v>
      </c>
      <c r="N36" s="150"/>
      <c r="O36" s="278" t="s">
        <v>243</v>
      </c>
      <c r="P36" s="302">
        <v>5.4</v>
      </c>
      <c r="Q36" s="303">
        <v>7.2</v>
      </c>
      <c r="R36" s="147"/>
      <c r="S36" s="147"/>
      <c r="T36" s="147"/>
      <c r="U36" s="147"/>
      <c r="V36" s="147"/>
      <c r="W36" s="147"/>
      <c r="X36" s="147"/>
      <c r="Y36" s="147"/>
      <c r="Z36" s="147"/>
    </row>
    <row r="37" spans="6:26" x14ac:dyDescent="0.2">
      <c r="F37" s="279">
        <v>5</v>
      </c>
      <c r="G37" s="149">
        <v>170</v>
      </c>
      <c r="H37" s="226">
        <v>170</v>
      </c>
      <c r="I37" s="150"/>
      <c r="J37" s="150"/>
      <c r="K37" s="279">
        <v>5</v>
      </c>
      <c r="L37" s="149">
        <v>1</v>
      </c>
      <c r="M37" s="226">
        <v>1</v>
      </c>
      <c r="N37" s="150"/>
      <c r="O37" s="279">
        <v>5</v>
      </c>
      <c r="P37" s="149">
        <v>144</v>
      </c>
      <c r="Q37" s="226">
        <v>144</v>
      </c>
      <c r="R37" s="147"/>
      <c r="S37" s="147"/>
      <c r="T37" s="147"/>
      <c r="U37" s="147"/>
      <c r="V37" s="147"/>
      <c r="W37" s="147"/>
      <c r="X37" s="147"/>
      <c r="Y37" s="147"/>
      <c r="Z37" s="147"/>
    </row>
    <row r="38" spans="6:26" x14ac:dyDescent="0.2">
      <c r="F38" s="279">
        <v>10</v>
      </c>
      <c r="G38" s="149">
        <v>170</v>
      </c>
      <c r="H38" s="226">
        <v>170</v>
      </c>
      <c r="I38" s="150"/>
      <c r="J38" s="150"/>
      <c r="K38" s="279">
        <v>10</v>
      </c>
      <c r="L38" s="149">
        <v>1</v>
      </c>
      <c r="M38" s="226">
        <v>1</v>
      </c>
      <c r="N38" s="150"/>
      <c r="O38" s="279">
        <v>10</v>
      </c>
      <c r="P38" s="149">
        <v>144</v>
      </c>
      <c r="Q38" s="226">
        <v>144</v>
      </c>
      <c r="R38" s="147"/>
      <c r="S38" s="147"/>
      <c r="T38" s="147"/>
      <c r="U38" s="147"/>
      <c r="V38" s="147"/>
      <c r="W38" s="147"/>
      <c r="X38" s="147"/>
      <c r="Y38" s="147"/>
      <c r="Z38" s="147"/>
    </row>
    <row r="39" spans="6:26" x14ac:dyDescent="0.2">
      <c r="F39" s="279">
        <v>15</v>
      </c>
      <c r="G39" s="149">
        <v>170</v>
      </c>
      <c r="H39" s="226">
        <v>170</v>
      </c>
      <c r="I39" s="150"/>
      <c r="J39" s="150"/>
      <c r="K39" s="279">
        <v>15</v>
      </c>
      <c r="L39" s="149">
        <v>1</v>
      </c>
      <c r="M39" s="226">
        <v>1</v>
      </c>
      <c r="N39" s="150"/>
      <c r="O39" s="279">
        <v>15</v>
      </c>
      <c r="P39" s="149">
        <v>144</v>
      </c>
      <c r="Q39" s="226">
        <v>144</v>
      </c>
      <c r="R39" s="147"/>
      <c r="S39" s="147"/>
      <c r="T39" s="147"/>
      <c r="U39" s="147"/>
      <c r="V39" s="147"/>
      <c r="W39" s="147"/>
      <c r="X39" s="147"/>
      <c r="Y39" s="147"/>
      <c r="Z39" s="147"/>
    </row>
    <row r="40" spans="6:26" x14ac:dyDescent="0.2">
      <c r="F40" s="280">
        <v>20</v>
      </c>
      <c r="G40" s="227">
        <v>170</v>
      </c>
      <c r="H40" s="228">
        <v>170</v>
      </c>
      <c r="I40" s="150"/>
      <c r="J40" s="150"/>
      <c r="K40" s="280">
        <v>20</v>
      </c>
      <c r="L40" s="227">
        <v>1</v>
      </c>
      <c r="M40" s="228">
        <v>1</v>
      </c>
      <c r="N40" s="150"/>
      <c r="O40" s="280">
        <v>20</v>
      </c>
      <c r="P40" s="227">
        <v>144</v>
      </c>
      <c r="Q40" s="228">
        <v>144</v>
      </c>
      <c r="R40" s="147"/>
      <c r="S40" s="147"/>
      <c r="T40" s="147"/>
      <c r="U40" s="147"/>
      <c r="V40" s="147"/>
      <c r="W40" s="147"/>
      <c r="X40" s="147"/>
      <c r="Y40" s="147"/>
      <c r="Z40" s="147"/>
    </row>
    <row r="41" spans="6:26" x14ac:dyDescent="0.2">
      <c r="F41" s="150"/>
      <c r="G41" s="150"/>
      <c r="H41" s="150"/>
      <c r="I41" s="150"/>
      <c r="J41" s="150"/>
      <c r="K41" s="150"/>
      <c r="L41" s="150"/>
      <c r="M41" s="150"/>
      <c r="N41" s="150"/>
      <c r="O41" s="150"/>
      <c r="P41" s="150"/>
      <c r="Q41" s="150"/>
      <c r="R41" s="147"/>
      <c r="S41" s="147"/>
      <c r="T41" s="147"/>
      <c r="U41" s="147"/>
      <c r="V41" s="147"/>
      <c r="W41" s="147"/>
      <c r="X41" s="147"/>
      <c r="Y41" s="147"/>
      <c r="Z41" s="147"/>
    </row>
    <row r="42" spans="6:26" x14ac:dyDescent="0.2">
      <c r="F42" s="278" t="s">
        <v>251</v>
      </c>
      <c r="G42" s="302">
        <v>5.4</v>
      </c>
      <c r="H42" s="303">
        <v>7.2</v>
      </c>
      <c r="I42" s="150"/>
      <c r="J42" s="150"/>
      <c r="K42" s="278" t="s">
        <v>252</v>
      </c>
      <c r="L42" s="302">
        <v>5.4</v>
      </c>
      <c r="M42" s="303">
        <v>7.2</v>
      </c>
      <c r="N42" s="150"/>
      <c r="O42" s="278" t="s">
        <v>253</v>
      </c>
      <c r="P42" s="302">
        <v>5.4</v>
      </c>
      <c r="Q42" s="303">
        <v>7.2</v>
      </c>
      <c r="R42" s="147"/>
      <c r="S42" s="147"/>
      <c r="T42" s="147"/>
      <c r="U42" s="147"/>
      <c r="V42" s="147"/>
      <c r="W42" s="147"/>
      <c r="X42" s="147"/>
      <c r="Y42" s="147"/>
      <c r="Z42" s="147"/>
    </row>
    <row r="43" spans="6:26" x14ac:dyDescent="0.2">
      <c r="F43" s="279">
        <v>5</v>
      </c>
      <c r="G43" s="149">
        <v>182</v>
      </c>
      <c r="H43" s="226">
        <v>182</v>
      </c>
      <c r="I43" s="150"/>
      <c r="J43" s="150"/>
      <c r="K43" s="279">
        <v>5</v>
      </c>
      <c r="L43" s="149">
        <v>135.19999999999999</v>
      </c>
      <c r="M43" s="226">
        <v>135.19999999999999</v>
      </c>
      <c r="N43" s="150"/>
      <c r="O43" s="279">
        <v>5</v>
      </c>
      <c r="P43" s="149">
        <v>230</v>
      </c>
      <c r="Q43" s="226">
        <v>230</v>
      </c>
      <c r="R43" s="147"/>
      <c r="S43" s="147"/>
      <c r="T43" s="147"/>
      <c r="U43" s="147"/>
      <c r="V43" s="147"/>
      <c r="W43" s="147"/>
      <c r="X43" s="147"/>
      <c r="Y43" s="147"/>
      <c r="Z43" s="147"/>
    </row>
    <row r="44" spans="6:26" x14ac:dyDescent="0.2">
      <c r="F44" s="279">
        <v>10</v>
      </c>
      <c r="G44" s="149">
        <v>182</v>
      </c>
      <c r="H44" s="226">
        <v>182</v>
      </c>
      <c r="I44" s="150"/>
      <c r="J44" s="150"/>
      <c r="K44" s="279">
        <v>10</v>
      </c>
      <c r="L44" s="149">
        <v>135.19999999999999</v>
      </c>
      <c r="M44" s="226">
        <v>135.19999999999999</v>
      </c>
      <c r="N44" s="150"/>
      <c r="O44" s="279">
        <v>10</v>
      </c>
      <c r="P44" s="149">
        <v>230</v>
      </c>
      <c r="Q44" s="226">
        <v>230</v>
      </c>
      <c r="R44" s="147"/>
      <c r="S44" s="147"/>
      <c r="T44" s="147"/>
      <c r="U44" s="147"/>
      <c r="V44" s="147"/>
      <c r="W44" s="147"/>
      <c r="X44" s="147"/>
      <c r="Y44" s="147"/>
      <c r="Z44" s="147"/>
    </row>
    <row r="45" spans="6:26" x14ac:dyDescent="0.2">
      <c r="F45" s="279">
        <v>15</v>
      </c>
      <c r="G45" s="149">
        <v>182</v>
      </c>
      <c r="H45" s="226">
        <v>182</v>
      </c>
      <c r="I45" s="150"/>
      <c r="J45" s="150"/>
      <c r="K45" s="279">
        <v>15</v>
      </c>
      <c r="L45" s="149">
        <v>135.19999999999999</v>
      </c>
      <c r="M45" s="226">
        <v>135.19999999999999</v>
      </c>
      <c r="N45" s="150"/>
      <c r="O45" s="279">
        <v>15</v>
      </c>
      <c r="P45" s="149">
        <v>230</v>
      </c>
      <c r="Q45" s="226">
        <v>230</v>
      </c>
      <c r="R45" s="147"/>
      <c r="S45" s="147"/>
      <c r="T45" s="147"/>
      <c r="U45" s="147"/>
      <c r="V45" s="147"/>
      <c r="W45" s="147"/>
      <c r="X45" s="147"/>
      <c r="Y45" s="147"/>
      <c r="Z45" s="147"/>
    </row>
    <row r="46" spans="6:26" x14ac:dyDescent="0.2">
      <c r="F46" s="280">
        <v>20</v>
      </c>
      <c r="G46" s="227">
        <v>182</v>
      </c>
      <c r="H46" s="228">
        <v>182</v>
      </c>
      <c r="I46" s="150"/>
      <c r="J46" s="150"/>
      <c r="K46" s="280">
        <v>20</v>
      </c>
      <c r="L46" s="227">
        <v>135.19999999999999</v>
      </c>
      <c r="M46" s="228">
        <v>135.19999999999999</v>
      </c>
      <c r="N46" s="150"/>
      <c r="O46" s="280">
        <v>20</v>
      </c>
      <c r="P46" s="227">
        <v>230</v>
      </c>
      <c r="Q46" s="228">
        <v>230</v>
      </c>
      <c r="R46" s="147"/>
      <c r="S46" s="147"/>
      <c r="T46" s="147"/>
      <c r="U46" s="147"/>
      <c r="V46" s="147"/>
      <c r="W46" s="147"/>
      <c r="X46" s="147"/>
      <c r="Y46" s="147"/>
      <c r="Z46" s="147"/>
    </row>
    <row r="47" spans="6:26" x14ac:dyDescent="0.2">
      <c r="F47" s="150"/>
      <c r="G47" s="150"/>
      <c r="H47" s="150"/>
      <c r="I47" s="150"/>
      <c r="J47" s="150"/>
      <c r="K47" s="150"/>
      <c r="L47" s="150"/>
      <c r="M47" s="150"/>
      <c r="N47" s="150"/>
      <c r="O47" s="150"/>
      <c r="P47" s="150"/>
      <c r="Q47" s="150"/>
      <c r="R47" s="147"/>
      <c r="S47" s="147"/>
      <c r="T47" s="147"/>
      <c r="U47" s="147"/>
      <c r="V47" s="147"/>
      <c r="W47" s="147"/>
      <c r="X47" s="147"/>
      <c r="Y47" s="147"/>
      <c r="Z47" s="147"/>
    </row>
    <row r="48" spans="6:26" x14ac:dyDescent="0.2">
      <c r="F48" s="278" t="s">
        <v>247</v>
      </c>
      <c r="G48" s="302">
        <v>5.4</v>
      </c>
      <c r="H48" s="303">
        <v>7.2</v>
      </c>
      <c r="I48" s="150"/>
      <c r="J48" s="150"/>
      <c r="K48" s="278" t="s">
        <v>197</v>
      </c>
      <c r="L48" s="302">
        <v>5.4</v>
      </c>
      <c r="M48" s="303">
        <v>7.2</v>
      </c>
      <c r="N48" s="150"/>
      <c r="O48" s="71" t="s">
        <v>2</v>
      </c>
      <c r="P48" s="72">
        <v>7800</v>
      </c>
      <c r="Q48" s="73" t="s">
        <v>137</v>
      </c>
      <c r="R48" s="147"/>
      <c r="S48" s="147"/>
      <c r="T48" s="147"/>
      <c r="U48" s="147"/>
      <c r="V48" s="147"/>
      <c r="W48" s="147"/>
      <c r="X48" s="147"/>
      <c r="Y48" s="147"/>
      <c r="Z48" s="147"/>
    </row>
    <row r="49" spans="6:26" x14ac:dyDescent="0.2">
      <c r="F49" s="279">
        <v>5</v>
      </c>
      <c r="G49" s="133">
        <f t="shared" ref="G49:H52" si="1">(L49*$P$49)/10^6*$P$48/$P$50</f>
        <v>5.85</v>
      </c>
      <c r="H49" s="977">
        <f t="shared" si="1"/>
        <v>5.85</v>
      </c>
      <c r="I49" s="150"/>
      <c r="J49" s="150"/>
      <c r="K49" s="279">
        <v>5</v>
      </c>
      <c r="L49" s="149">
        <v>3</v>
      </c>
      <c r="M49" s="226">
        <v>3</v>
      </c>
      <c r="N49" s="150"/>
      <c r="O49" s="71" t="s">
        <v>248</v>
      </c>
      <c r="P49" s="72">
        <v>150</v>
      </c>
      <c r="Q49" s="73" t="s">
        <v>128</v>
      </c>
      <c r="R49" s="147"/>
      <c r="S49" s="147"/>
      <c r="T49" s="147"/>
      <c r="U49" s="147"/>
      <c r="V49" s="147"/>
      <c r="W49" s="147"/>
      <c r="X49" s="147"/>
      <c r="Y49" s="147"/>
      <c r="Z49" s="147"/>
    </row>
    <row r="50" spans="6:26" x14ac:dyDescent="0.2">
      <c r="F50" s="279">
        <v>10</v>
      </c>
      <c r="G50" s="133">
        <f t="shared" si="1"/>
        <v>5.85</v>
      </c>
      <c r="H50" s="977">
        <f t="shared" si="1"/>
        <v>9.7500000000000018</v>
      </c>
      <c r="I50" s="150"/>
      <c r="J50" s="150"/>
      <c r="K50" s="279">
        <v>10</v>
      </c>
      <c r="L50" s="149">
        <v>3</v>
      </c>
      <c r="M50" s="226">
        <v>5</v>
      </c>
      <c r="N50" s="150"/>
      <c r="O50" s="71" t="s">
        <v>255</v>
      </c>
      <c r="P50" s="72">
        <v>0.6</v>
      </c>
      <c r="Q50" s="73" t="s">
        <v>17</v>
      </c>
      <c r="R50" s="147"/>
      <c r="S50" s="147"/>
      <c r="T50" s="147"/>
      <c r="U50" s="147"/>
      <c r="V50" s="147"/>
      <c r="W50" s="147"/>
      <c r="X50" s="147"/>
      <c r="Y50" s="147"/>
      <c r="Z50" s="147"/>
    </row>
    <row r="51" spans="6:26" x14ac:dyDescent="0.2">
      <c r="F51" s="279">
        <v>15</v>
      </c>
      <c r="G51" s="133">
        <f t="shared" si="1"/>
        <v>5.85</v>
      </c>
      <c r="H51" s="977">
        <f t="shared" si="1"/>
        <v>9.7500000000000018</v>
      </c>
      <c r="I51" s="150"/>
      <c r="J51" s="150"/>
      <c r="K51" s="279">
        <v>15</v>
      </c>
      <c r="L51" s="149">
        <v>3</v>
      </c>
      <c r="M51" s="226">
        <v>5</v>
      </c>
      <c r="N51" s="150"/>
      <c r="O51" s="150"/>
      <c r="P51" s="150"/>
      <c r="Q51" s="150"/>
      <c r="R51" s="147"/>
      <c r="S51" s="147"/>
      <c r="T51" s="147"/>
      <c r="U51" s="147"/>
      <c r="V51" s="147"/>
      <c r="W51" s="147"/>
      <c r="X51" s="147"/>
      <c r="Y51" s="147"/>
      <c r="Z51" s="147"/>
    </row>
    <row r="52" spans="6:26" x14ac:dyDescent="0.2">
      <c r="F52" s="280">
        <v>20</v>
      </c>
      <c r="G52" s="978">
        <f t="shared" si="1"/>
        <v>5.85</v>
      </c>
      <c r="H52" s="979">
        <f t="shared" si="1"/>
        <v>13.65</v>
      </c>
      <c r="I52" s="150"/>
      <c r="J52" s="150"/>
      <c r="K52" s="280">
        <v>20</v>
      </c>
      <c r="L52" s="227">
        <v>3</v>
      </c>
      <c r="M52" s="228">
        <v>7</v>
      </c>
      <c r="N52" s="150"/>
      <c r="O52" s="150"/>
      <c r="P52" s="150"/>
      <c r="Q52" s="150"/>
      <c r="R52" s="147"/>
      <c r="S52" s="147"/>
      <c r="T52" s="147"/>
      <c r="U52" s="147"/>
      <c r="V52" s="147"/>
      <c r="W52" s="147"/>
      <c r="X52" s="147"/>
      <c r="Y52" s="147"/>
      <c r="Z52" s="147"/>
    </row>
    <row r="53" spans="6:26" x14ac:dyDescent="0.2">
      <c r="F53" s="150"/>
      <c r="G53" s="150"/>
      <c r="H53" s="150"/>
      <c r="I53" s="150"/>
      <c r="J53" s="150"/>
      <c r="K53" s="150"/>
      <c r="L53" s="150"/>
      <c r="M53" s="150"/>
      <c r="N53" s="150"/>
      <c r="O53" s="150"/>
      <c r="P53" s="150"/>
      <c r="Q53" s="150"/>
      <c r="R53" s="147"/>
      <c r="S53" s="147"/>
      <c r="T53" s="147"/>
      <c r="U53" s="147"/>
      <c r="V53" s="147"/>
      <c r="W53" s="147"/>
      <c r="X53" s="147"/>
      <c r="Y53" s="147"/>
      <c r="Z53" s="147"/>
    </row>
    <row r="54" spans="6:26" x14ac:dyDescent="0.2">
      <c r="F54" s="150" t="s">
        <v>254</v>
      </c>
      <c r="G54" s="150"/>
      <c r="H54" s="150"/>
      <c r="I54" s="150"/>
      <c r="J54" s="150"/>
      <c r="K54" s="150"/>
      <c r="L54" s="150"/>
      <c r="M54" s="150"/>
      <c r="N54" s="150"/>
      <c r="O54" s="150"/>
      <c r="P54" s="150"/>
      <c r="Q54" s="150"/>
      <c r="R54" s="147"/>
      <c r="S54" s="147"/>
      <c r="T54" s="147"/>
      <c r="U54" s="147"/>
      <c r="V54" s="147"/>
      <c r="W54" s="147"/>
      <c r="X54" s="147"/>
      <c r="Y54" s="147"/>
      <c r="Z54" s="147"/>
    </row>
    <row r="55" spans="6:26" x14ac:dyDescent="0.2">
      <c r="F55" s="150" t="s">
        <v>188</v>
      </c>
      <c r="G55" s="150"/>
      <c r="H55" s="150"/>
      <c r="I55" s="150"/>
      <c r="J55" s="150"/>
      <c r="K55" s="150"/>
      <c r="L55" s="150"/>
      <c r="M55" s="150"/>
      <c r="N55" s="150"/>
      <c r="O55" s="150"/>
      <c r="P55" s="150"/>
      <c r="Q55" s="150"/>
      <c r="R55" s="147"/>
      <c r="S55" s="147"/>
      <c r="T55" s="147"/>
      <c r="U55" s="147"/>
      <c r="V55" s="147"/>
      <c r="W55" s="147"/>
      <c r="X55" s="147"/>
      <c r="Y55" s="147"/>
      <c r="Z55" s="147"/>
    </row>
    <row r="56" spans="6:26" ht="12.75" thickBot="1" x14ac:dyDescent="0.25">
      <c r="F56" s="150"/>
      <c r="G56" s="150"/>
      <c r="H56" s="150"/>
      <c r="I56" s="150"/>
      <c r="J56" s="150"/>
      <c r="K56" s="150"/>
      <c r="L56" s="150"/>
      <c r="M56" s="150"/>
      <c r="N56" s="150"/>
      <c r="O56" s="150"/>
      <c r="P56" s="150"/>
      <c r="Q56" s="150"/>
      <c r="R56" s="147"/>
      <c r="S56" s="147"/>
      <c r="T56" s="147"/>
      <c r="U56" s="147"/>
      <c r="V56" s="147"/>
      <c r="W56" s="147"/>
      <c r="X56" s="147"/>
      <c r="Y56" s="147"/>
      <c r="Z56" s="147"/>
    </row>
    <row r="57" spans="6:26" ht="12.75" thickBot="1" x14ac:dyDescent="0.25">
      <c r="F57" s="974" t="s">
        <v>256</v>
      </c>
      <c r="G57" s="975"/>
      <c r="H57" s="975"/>
      <c r="I57" s="975"/>
      <c r="J57" s="975"/>
      <c r="K57" s="975"/>
      <c r="L57" s="975"/>
      <c r="M57" s="975"/>
      <c r="N57" s="975"/>
      <c r="O57" s="975"/>
      <c r="P57" s="975"/>
      <c r="Q57" s="976"/>
      <c r="R57" s="147"/>
      <c r="S57" s="147"/>
      <c r="T57" s="147"/>
      <c r="U57" s="147"/>
      <c r="V57" s="147"/>
      <c r="W57" s="147"/>
      <c r="X57" s="147"/>
      <c r="Y57" s="147"/>
      <c r="Z57" s="147"/>
    </row>
    <row r="58" spans="6:26" x14ac:dyDescent="0.2">
      <c r="F58" s="150"/>
      <c r="G58" s="150"/>
      <c r="H58" s="150"/>
      <c r="I58" s="150"/>
      <c r="J58" s="150"/>
      <c r="K58" s="150"/>
      <c r="L58" s="150"/>
      <c r="M58" s="150"/>
      <c r="N58" s="150"/>
      <c r="O58" s="150"/>
      <c r="P58" s="150"/>
      <c r="Q58" s="150"/>
      <c r="R58" s="147"/>
      <c r="S58" s="147"/>
      <c r="T58" s="147"/>
      <c r="U58" s="147"/>
      <c r="V58" s="147"/>
      <c r="W58" s="147"/>
      <c r="X58" s="147"/>
      <c r="Y58" s="147"/>
      <c r="Z58" s="147"/>
    </row>
    <row r="59" spans="6:26" x14ac:dyDescent="0.2">
      <c r="F59" s="278" t="s">
        <v>257</v>
      </c>
      <c r="G59" s="302">
        <v>5.4</v>
      </c>
      <c r="H59" s="303">
        <v>7.2</v>
      </c>
      <c r="I59" s="150"/>
      <c r="J59" s="150"/>
      <c r="K59" s="278" t="s">
        <v>258</v>
      </c>
      <c r="L59" s="302">
        <v>5.4</v>
      </c>
      <c r="M59" s="303">
        <v>7.2</v>
      </c>
      <c r="N59" s="150"/>
      <c r="O59" s="150"/>
      <c r="P59" s="150"/>
      <c r="Q59" s="150"/>
      <c r="R59" s="147"/>
      <c r="S59" s="147"/>
      <c r="T59" s="147"/>
      <c r="U59" s="147"/>
      <c r="V59" s="147"/>
      <c r="W59" s="147"/>
      <c r="X59" s="147"/>
      <c r="Y59" s="147"/>
      <c r="Z59" s="147"/>
    </row>
    <row r="60" spans="6:26" x14ac:dyDescent="0.2">
      <c r="F60" s="279">
        <v>5</v>
      </c>
      <c r="G60" s="149">
        <v>250</v>
      </c>
      <c r="H60" s="226">
        <v>250</v>
      </c>
      <c r="I60" s="150"/>
      <c r="J60" s="150"/>
      <c r="K60" s="279">
        <v>5</v>
      </c>
      <c r="L60" s="149">
        <v>350</v>
      </c>
      <c r="M60" s="226">
        <v>350</v>
      </c>
      <c r="N60" s="150"/>
      <c r="O60" s="150"/>
      <c r="P60" s="150"/>
      <c r="Q60" s="150"/>
      <c r="R60" s="147"/>
      <c r="S60" s="147"/>
      <c r="T60" s="147"/>
      <c r="U60" s="147"/>
      <c r="V60" s="147"/>
      <c r="W60" s="147"/>
      <c r="X60" s="147"/>
      <c r="Y60" s="147"/>
      <c r="Z60" s="147"/>
    </row>
    <row r="61" spans="6:26" x14ac:dyDescent="0.2">
      <c r="F61" s="279">
        <v>10</v>
      </c>
      <c r="G61" s="149">
        <v>250</v>
      </c>
      <c r="H61" s="226">
        <v>250</v>
      </c>
      <c r="I61" s="150"/>
      <c r="J61" s="150"/>
      <c r="K61" s="279">
        <v>10</v>
      </c>
      <c r="L61" s="149">
        <v>350</v>
      </c>
      <c r="M61" s="226">
        <v>350</v>
      </c>
      <c r="N61" s="150"/>
      <c r="O61" s="150"/>
      <c r="P61" s="150"/>
      <c r="Q61" s="150"/>
      <c r="R61" s="147"/>
      <c r="S61" s="147"/>
      <c r="T61" s="147"/>
      <c r="U61" s="147"/>
      <c r="V61" s="147"/>
      <c r="W61" s="147"/>
      <c r="X61" s="147"/>
      <c r="Y61" s="147"/>
      <c r="Z61" s="147"/>
    </row>
    <row r="62" spans="6:26" x14ac:dyDescent="0.2">
      <c r="F62" s="279">
        <v>15</v>
      </c>
      <c r="G62" s="149">
        <v>250</v>
      </c>
      <c r="H62" s="226"/>
      <c r="I62" s="150"/>
      <c r="J62" s="150"/>
      <c r="K62" s="279">
        <v>15</v>
      </c>
      <c r="L62" s="149">
        <v>350</v>
      </c>
      <c r="M62" s="226"/>
      <c r="N62" s="150"/>
      <c r="O62" s="150"/>
      <c r="P62" s="150"/>
      <c r="Q62" s="150"/>
      <c r="R62" s="147"/>
      <c r="S62" s="147"/>
      <c r="T62" s="147"/>
      <c r="U62" s="147"/>
      <c r="V62" s="147"/>
      <c r="W62" s="147"/>
      <c r="X62" s="147"/>
      <c r="Y62" s="147"/>
      <c r="Z62" s="147"/>
    </row>
    <row r="63" spans="6:26" x14ac:dyDescent="0.2">
      <c r="F63" s="280">
        <v>20</v>
      </c>
      <c r="G63" s="227">
        <v>250</v>
      </c>
      <c r="H63" s="228"/>
      <c r="I63" s="150"/>
      <c r="J63" s="150"/>
      <c r="K63" s="280">
        <v>20</v>
      </c>
      <c r="L63" s="227">
        <v>350</v>
      </c>
      <c r="M63" s="228"/>
      <c r="N63" s="150"/>
      <c r="O63" s="150"/>
      <c r="P63" s="150"/>
      <c r="Q63" s="150"/>
      <c r="R63" s="147"/>
      <c r="S63" s="147"/>
      <c r="T63" s="147"/>
      <c r="U63" s="147"/>
      <c r="V63" s="147"/>
      <c r="W63" s="147"/>
      <c r="X63" s="147"/>
      <c r="Y63" s="147"/>
      <c r="Z63" s="147"/>
    </row>
    <row r="64" spans="6:26" x14ac:dyDescent="0.2">
      <c r="F64" s="150"/>
      <c r="G64" s="150"/>
      <c r="H64" s="150"/>
      <c r="I64" s="150"/>
      <c r="J64" s="150"/>
      <c r="K64" s="150"/>
      <c r="L64" s="150"/>
      <c r="M64" s="150"/>
      <c r="N64" s="150"/>
      <c r="O64" s="150"/>
      <c r="P64" s="150"/>
      <c r="Q64" s="150"/>
      <c r="R64" s="147"/>
      <c r="S64" s="147"/>
      <c r="T64" s="147"/>
      <c r="U64" s="147"/>
      <c r="V64" s="147"/>
      <c r="W64" s="147"/>
      <c r="X64" s="147"/>
      <c r="Y64" s="147"/>
      <c r="Z64" s="147"/>
    </row>
    <row r="65" spans="6:26" x14ac:dyDescent="0.2">
      <c r="F65" s="278" t="s">
        <v>259</v>
      </c>
      <c r="G65" s="302">
        <v>5.4</v>
      </c>
      <c r="H65" s="303">
        <v>7.2</v>
      </c>
      <c r="I65" s="150"/>
      <c r="J65" s="150"/>
      <c r="K65" s="150"/>
      <c r="L65" s="150"/>
      <c r="M65" s="150"/>
      <c r="N65" s="150"/>
      <c r="O65" s="150"/>
      <c r="P65" s="150"/>
      <c r="Q65" s="150"/>
      <c r="R65" s="147"/>
      <c r="S65" s="147"/>
      <c r="T65" s="147"/>
      <c r="U65" s="147"/>
      <c r="V65" s="147"/>
      <c r="W65" s="147"/>
      <c r="X65" s="147"/>
      <c r="Y65" s="147"/>
      <c r="Z65" s="147"/>
    </row>
    <row r="66" spans="6:26" x14ac:dyDescent="0.2">
      <c r="F66" s="279">
        <v>5</v>
      </c>
      <c r="G66" s="149">
        <v>200</v>
      </c>
      <c r="H66" s="226">
        <v>200</v>
      </c>
      <c r="I66" s="150"/>
      <c r="J66" s="150"/>
      <c r="K66" s="150"/>
      <c r="L66" s="150"/>
      <c r="M66" s="150"/>
      <c r="N66" s="150"/>
      <c r="O66" s="150"/>
      <c r="P66" s="150"/>
      <c r="Q66" s="150"/>
      <c r="R66" s="147"/>
      <c r="S66" s="147"/>
      <c r="T66" s="147"/>
      <c r="U66" s="147"/>
      <c r="V66" s="147"/>
      <c r="W66" s="147"/>
      <c r="X66" s="147"/>
      <c r="Y66" s="147"/>
      <c r="Z66" s="147"/>
    </row>
    <row r="67" spans="6:26" x14ac:dyDescent="0.2">
      <c r="F67" s="279">
        <v>10</v>
      </c>
      <c r="G67" s="149">
        <v>200</v>
      </c>
      <c r="H67" s="226">
        <v>200</v>
      </c>
      <c r="I67" s="150"/>
      <c r="J67" s="150"/>
      <c r="K67" s="150"/>
      <c r="L67" s="150"/>
      <c r="M67" s="150"/>
      <c r="N67" s="150"/>
      <c r="O67" s="150"/>
      <c r="P67" s="150"/>
      <c r="Q67" s="150"/>
      <c r="R67" s="147"/>
      <c r="S67" s="147"/>
      <c r="T67" s="147"/>
      <c r="U67" s="147"/>
      <c r="V67" s="147"/>
      <c r="W67" s="147"/>
      <c r="X67" s="147"/>
      <c r="Y67" s="147"/>
      <c r="Z67" s="147"/>
    </row>
    <row r="68" spans="6:26" x14ac:dyDescent="0.2">
      <c r="F68" s="279">
        <v>15</v>
      </c>
      <c r="G68" s="149">
        <v>220</v>
      </c>
      <c r="H68" s="226"/>
      <c r="I68" s="150"/>
      <c r="J68" s="150"/>
      <c r="K68" s="150"/>
      <c r="L68" s="150"/>
      <c r="M68" s="150"/>
      <c r="N68" s="150"/>
      <c r="O68" s="150"/>
      <c r="P68" s="150"/>
      <c r="Q68" s="150"/>
      <c r="R68" s="147"/>
      <c r="S68" s="147"/>
      <c r="T68" s="147"/>
      <c r="U68" s="147"/>
      <c r="V68" s="147"/>
      <c r="W68" s="147"/>
      <c r="X68" s="147"/>
      <c r="Y68" s="147"/>
      <c r="Z68" s="147"/>
    </row>
    <row r="69" spans="6:26" x14ac:dyDescent="0.2">
      <c r="F69" s="280">
        <v>20</v>
      </c>
      <c r="G69" s="227">
        <v>220</v>
      </c>
      <c r="H69" s="228"/>
      <c r="I69" s="150"/>
      <c r="J69" s="150"/>
      <c r="K69" s="150"/>
      <c r="L69" s="150"/>
      <c r="M69" s="150"/>
      <c r="N69" s="150"/>
      <c r="O69" s="150"/>
      <c r="P69" s="150"/>
      <c r="Q69" s="150"/>
      <c r="R69" s="147"/>
      <c r="S69" s="147"/>
      <c r="T69" s="147"/>
      <c r="U69" s="147"/>
      <c r="V69" s="147"/>
      <c r="W69" s="147"/>
      <c r="X69" s="147"/>
      <c r="Y69" s="147"/>
      <c r="Z69" s="147"/>
    </row>
    <row r="70" spans="6:26" x14ac:dyDescent="0.2">
      <c r="F70" s="150"/>
      <c r="G70" s="150"/>
      <c r="H70" s="150"/>
      <c r="I70" s="150"/>
      <c r="J70" s="150"/>
      <c r="K70" s="150"/>
      <c r="L70" s="150"/>
      <c r="M70" s="150"/>
      <c r="N70" s="150"/>
      <c r="O70" s="150"/>
      <c r="P70" s="150"/>
      <c r="Q70" s="150"/>
      <c r="R70" s="147"/>
      <c r="S70" s="147"/>
      <c r="T70" s="147"/>
      <c r="U70" s="147"/>
      <c r="V70" s="147"/>
      <c r="W70" s="147"/>
      <c r="X70" s="147"/>
      <c r="Y70" s="147"/>
      <c r="Z70" s="147"/>
    </row>
    <row r="71" spans="6:26" x14ac:dyDescent="0.2">
      <c r="F71" s="278" t="s">
        <v>247</v>
      </c>
      <c r="G71" s="302">
        <v>5.4</v>
      </c>
      <c r="H71" s="303">
        <v>7.2</v>
      </c>
      <c r="I71" s="150" t="s">
        <v>182</v>
      </c>
      <c r="J71" s="150"/>
      <c r="K71" s="278" t="s">
        <v>197</v>
      </c>
      <c r="L71" s="302">
        <v>5.4</v>
      </c>
      <c r="M71" s="303">
        <v>7.2</v>
      </c>
      <c r="N71" s="150"/>
      <c r="O71" s="71" t="s">
        <v>2</v>
      </c>
      <c r="P71" s="72">
        <v>7800</v>
      </c>
      <c r="Q71" s="73" t="s">
        <v>137</v>
      </c>
      <c r="R71" s="147"/>
      <c r="S71" s="147"/>
      <c r="T71" s="147"/>
      <c r="U71" s="147"/>
      <c r="V71" s="147"/>
      <c r="W71" s="147"/>
      <c r="X71" s="147"/>
      <c r="Y71" s="147"/>
      <c r="Z71" s="147"/>
    </row>
    <row r="72" spans="6:26" x14ac:dyDescent="0.2">
      <c r="F72" s="279">
        <v>5</v>
      </c>
      <c r="G72" s="133">
        <f>(L72*$P$72)/10^6*$P$71/$P$73</f>
        <v>2.9249999999999998</v>
      </c>
      <c r="H72" s="977">
        <f>(M72*$P$72)/10^6*$P$71/$P$73</f>
        <v>2.9249999999999998</v>
      </c>
      <c r="I72" s="150">
        <v>1200</v>
      </c>
      <c r="J72" s="150"/>
      <c r="K72" s="279">
        <v>5</v>
      </c>
      <c r="L72" s="149">
        <v>3</v>
      </c>
      <c r="M72" s="226">
        <v>3</v>
      </c>
      <c r="N72" s="150"/>
      <c r="O72" s="71" t="s">
        <v>248</v>
      </c>
      <c r="P72" s="72">
        <v>150</v>
      </c>
      <c r="Q72" s="73" t="s">
        <v>128</v>
      </c>
      <c r="R72" s="147"/>
      <c r="S72" s="147"/>
      <c r="T72" s="147"/>
      <c r="U72" s="147"/>
      <c r="V72" s="147"/>
      <c r="W72" s="147"/>
      <c r="X72" s="147"/>
      <c r="Y72" s="147"/>
      <c r="Z72" s="147"/>
    </row>
    <row r="73" spans="6:26" x14ac:dyDescent="0.2">
      <c r="F73" s="279">
        <v>10</v>
      </c>
      <c r="G73" s="133">
        <f>(L73*$P$72)/10^6*$P$71/$P$73</f>
        <v>2.9249999999999998</v>
      </c>
      <c r="H73" s="977">
        <f>(M73*$P$72)/10^6*$P$71/$P$73</f>
        <v>4.8750000000000009</v>
      </c>
      <c r="I73" s="150">
        <v>1200</v>
      </c>
      <c r="J73" s="150"/>
      <c r="K73" s="279">
        <v>10</v>
      </c>
      <c r="L73" s="149">
        <v>3</v>
      </c>
      <c r="M73" s="226">
        <v>5</v>
      </c>
      <c r="N73" s="150"/>
      <c r="O73" s="71" t="s">
        <v>190</v>
      </c>
      <c r="P73" s="72">
        <v>1.2</v>
      </c>
      <c r="Q73" s="73" t="s">
        <v>17</v>
      </c>
      <c r="R73" s="147"/>
      <c r="S73" s="147"/>
      <c r="T73" s="147"/>
      <c r="U73" s="147"/>
      <c r="V73" s="147"/>
      <c r="W73" s="147"/>
      <c r="X73" s="147"/>
      <c r="Y73" s="147"/>
      <c r="Z73" s="147"/>
    </row>
    <row r="74" spans="6:26" x14ac:dyDescent="0.2">
      <c r="F74" s="279">
        <v>15</v>
      </c>
      <c r="G74" s="133">
        <f>(L74*$P$72)/10^6*$P$71/$P$74</f>
        <v>6.5</v>
      </c>
      <c r="H74" s="977"/>
      <c r="I74" s="150">
        <v>900</v>
      </c>
      <c r="J74" s="150"/>
      <c r="K74" s="279">
        <v>15</v>
      </c>
      <c r="L74" s="149">
        <v>5</v>
      </c>
      <c r="M74" s="226"/>
      <c r="N74" s="150"/>
      <c r="O74" s="71" t="s">
        <v>190</v>
      </c>
      <c r="P74" s="72">
        <v>0.9</v>
      </c>
      <c r="Q74" s="73" t="s">
        <v>17</v>
      </c>
      <c r="R74" s="147"/>
      <c r="S74" s="147"/>
      <c r="T74" s="147"/>
      <c r="U74" s="147"/>
      <c r="V74" s="147"/>
      <c r="W74" s="147"/>
      <c r="X74" s="147"/>
      <c r="Y74" s="147"/>
      <c r="Z74" s="147"/>
    </row>
    <row r="75" spans="6:26" x14ac:dyDescent="0.2">
      <c r="F75" s="280">
        <v>20</v>
      </c>
      <c r="G75" s="978">
        <f>(L75*$P$72)/10^6*$P$71/$P$74</f>
        <v>9.1</v>
      </c>
      <c r="H75" s="979"/>
      <c r="I75" s="150">
        <v>900</v>
      </c>
      <c r="J75" s="150"/>
      <c r="K75" s="280">
        <v>20</v>
      </c>
      <c r="L75" s="227">
        <v>7</v>
      </c>
      <c r="M75" s="228"/>
      <c r="N75" s="150"/>
      <c r="O75" s="150"/>
      <c r="P75" s="150"/>
      <c r="Q75" s="150"/>
      <c r="R75" s="147"/>
      <c r="S75" s="147"/>
      <c r="T75" s="147"/>
      <c r="U75" s="147"/>
      <c r="V75" s="147"/>
      <c r="W75" s="147"/>
      <c r="X75" s="147"/>
      <c r="Y75" s="147"/>
      <c r="Z75" s="147"/>
    </row>
    <row r="76" spans="6:26" x14ac:dyDescent="0.2">
      <c r="F76" s="150"/>
      <c r="G76" s="150"/>
      <c r="H76" s="150"/>
      <c r="I76" s="150"/>
      <c r="J76" s="150"/>
      <c r="K76" s="150"/>
      <c r="L76" s="150"/>
      <c r="M76" s="150"/>
      <c r="N76" s="150"/>
      <c r="O76" s="150"/>
      <c r="P76" s="150"/>
      <c r="Q76" s="150"/>
      <c r="R76" s="147"/>
      <c r="S76" s="147"/>
      <c r="T76" s="147"/>
      <c r="U76" s="147"/>
      <c r="V76" s="147"/>
      <c r="W76" s="147"/>
      <c r="X76" s="147"/>
      <c r="Y76" s="147"/>
      <c r="Z76" s="147"/>
    </row>
    <row r="77" spans="6:26" x14ac:dyDescent="0.2">
      <c r="F77" s="150" t="s">
        <v>254</v>
      </c>
      <c r="G77" s="150"/>
      <c r="H77" s="150"/>
      <c r="I77" s="150"/>
      <c r="J77" s="150"/>
      <c r="K77" s="150"/>
      <c r="L77" s="150"/>
      <c r="M77" s="150"/>
      <c r="N77" s="150"/>
      <c r="O77" s="150"/>
      <c r="P77" s="150"/>
      <c r="Q77" s="150"/>
      <c r="R77" s="147"/>
      <c r="S77" s="147"/>
      <c r="T77" s="147"/>
      <c r="U77" s="147"/>
      <c r="V77" s="147"/>
      <c r="W77" s="147"/>
      <c r="X77" s="147"/>
      <c r="Y77" s="147"/>
      <c r="Z77" s="147"/>
    </row>
    <row r="78" spans="6:26" x14ac:dyDescent="0.2">
      <c r="F78" s="150" t="s">
        <v>188</v>
      </c>
      <c r="G78" s="150"/>
      <c r="H78" s="150"/>
      <c r="I78" s="150"/>
      <c r="J78" s="150"/>
      <c r="K78" s="150"/>
      <c r="L78" s="150"/>
      <c r="M78" s="150"/>
      <c r="N78" s="150"/>
      <c r="O78" s="150"/>
      <c r="P78" s="150"/>
      <c r="Q78" s="150"/>
      <c r="R78" s="147"/>
      <c r="S78" s="147"/>
      <c r="T78" s="147"/>
      <c r="U78" s="147"/>
      <c r="V78" s="147"/>
      <c r="W78" s="147"/>
      <c r="X78" s="147"/>
      <c r="Y78" s="147"/>
      <c r="Z78" s="147"/>
    </row>
    <row r="79" spans="6:26" ht="12.75" thickBot="1" x14ac:dyDescent="0.25">
      <c r="F79" s="150"/>
      <c r="G79" s="150"/>
      <c r="H79" s="150"/>
      <c r="I79" s="150"/>
      <c r="J79" s="150"/>
      <c r="K79" s="150"/>
      <c r="L79" s="150"/>
      <c r="M79" s="150"/>
      <c r="N79" s="150"/>
      <c r="O79" s="150"/>
      <c r="P79" s="150"/>
      <c r="Q79" s="150"/>
      <c r="R79" s="147"/>
      <c r="S79" s="147"/>
      <c r="T79" s="147"/>
      <c r="U79" s="147"/>
      <c r="V79" s="147"/>
      <c r="W79" s="147"/>
      <c r="X79" s="147"/>
      <c r="Y79" s="147"/>
      <c r="Z79" s="147"/>
    </row>
    <row r="80" spans="6:26" ht="12.75" thickBot="1" x14ac:dyDescent="0.25">
      <c r="F80" s="974" t="s">
        <v>618</v>
      </c>
      <c r="G80" s="975"/>
      <c r="H80" s="975"/>
      <c r="I80" s="975"/>
      <c r="J80" s="975"/>
      <c r="K80" s="975"/>
      <c r="L80" s="975"/>
      <c r="M80" s="975"/>
      <c r="N80" s="975"/>
      <c r="O80" s="975"/>
      <c r="P80" s="975"/>
      <c r="Q80" s="976"/>
      <c r="R80" s="147"/>
      <c r="S80" s="147"/>
      <c r="T80" s="147"/>
      <c r="U80" s="147"/>
      <c r="V80" s="147"/>
      <c r="W80" s="147"/>
      <c r="X80" s="147"/>
      <c r="Y80" s="147"/>
      <c r="Z80" s="147"/>
    </row>
    <row r="81" spans="6:17" x14ac:dyDescent="0.2">
      <c r="F81" s="150"/>
      <c r="G81" s="150"/>
      <c r="H81" s="150"/>
      <c r="I81" s="150"/>
      <c r="J81" s="150"/>
      <c r="K81" s="150"/>
      <c r="L81" s="150"/>
      <c r="M81" s="150"/>
      <c r="N81" s="150"/>
      <c r="O81" s="150"/>
      <c r="P81" s="150"/>
      <c r="Q81" s="150"/>
    </row>
    <row r="82" spans="6:17" x14ac:dyDescent="0.2">
      <c r="F82" s="278" t="s">
        <v>141</v>
      </c>
      <c r="G82" s="302">
        <v>5.4</v>
      </c>
      <c r="H82" s="303">
        <v>7.2</v>
      </c>
      <c r="I82" s="150"/>
      <c r="J82" s="150"/>
      <c r="K82" s="278" t="s">
        <v>1079</v>
      </c>
      <c r="L82" s="302">
        <v>5.4</v>
      </c>
      <c r="M82" s="303">
        <v>7.2</v>
      </c>
      <c r="N82" s="150"/>
      <c r="O82" s="278" t="s">
        <v>260</v>
      </c>
      <c r="P82" s="302">
        <v>5.4</v>
      </c>
      <c r="Q82" s="303">
        <v>7.2</v>
      </c>
    </row>
    <row r="83" spans="6:17" x14ac:dyDescent="0.2">
      <c r="F83" s="279">
        <v>5</v>
      </c>
      <c r="G83" s="149">
        <v>150</v>
      </c>
      <c r="H83" s="226">
        <v>200</v>
      </c>
      <c r="I83" s="150"/>
      <c r="J83" s="150"/>
      <c r="K83" s="279">
        <v>5</v>
      </c>
      <c r="L83" s="133">
        <f t="shared" ref="L83:M86" si="2">G83/1000*2400</f>
        <v>360</v>
      </c>
      <c r="M83" s="977">
        <f t="shared" si="2"/>
        <v>480</v>
      </c>
      <c r="N83" s="150"/>
      <c r="O83" s="279">
        <v>5</v>
      </c>
      <c r="P83" s="149">
        <v>8</v>
      </c>
      <c r="Q83" s="226">
        <v>12</v>
      </c>
    </row>
    <row r="84" spans="6:17" x14ac:dyDescent="0.2">
      <c r="F84" s="279">
        <v>10</v>
      </c>
      <c r="G84" s="149">
        <v>200</v>
      </c>
      <c r="H84" s="226">
        <v>275</v>
      </c>
      <c r="I84" s="150"/>
      <c r="J84" s="150"/>
      <c r="K84" s="279">
        <v>10</v>
      </c>
      <c r="L84" s="133">
        <f t="shared" si="2"/>
        <v>480</v>
      </c>
      <c r="M84" s="977">
        <f t="shared" si="2"/>
        <v>660</v>
      </c>
      <c r="N84" s="150"/>
      <c r="O84" s="279">
        <v>10</v>
      </c>
      <c r="P84" s="149">
        <v>12</v>
      </c>
      <c r="Q84" s="226">
        <v>12</v>
      </c>
    </row>
    <row r="85" spans="6:17" x14ac:dyDescent="0.2">
      <c r="F85" s="279">
        <v>15</v>
      </c>
      <c r="G85" s="149">
        <v>250</v>
      </c>
      <c r="H85" s="226">
        <v>300</v>
      </c>
      <c r="I85" s="150"/>
      <c r="J85" s="150"/>
      <c r="K85" s="279">
        <v>15</v>
      </c>
      <c r="L85" s="133">
        <f t="shared" si="2"/>
        <v>600</v>
      </c>
      <c r="M85" s="977">
        <f t="shared" si="2"/>
        <v>720</v>
      </c>
      <c r="N85" s="150"/>
      <c r="O85" s="279">
        <v>15</v>
      </c>
      <c r="P85" s="149">
        <v>12</v>
      </c>
      <c r="Q85" s="226">
        <v>15</v>
      </c>
    </row>
    <row r="86" spans="6:17" x14ac:dyDescent="0.2">
      <c r="F86" s="280">
        <v>20</v>
      </c>
      <c r="G86" s="227">
        <v>275</v>
      </c>
      <c r="H86" s="228">
        <v>325</v>
      </c>
      <c r="I86" s="150"/>
      <c r="J86" s="150"/>
      <c r="K86" s="280">
        <v>20</v>
      </c>
      <c r="L86" s="978">
        <f t="shared" si="2"/>
        <v>660</v>
      </c>
      <c r="M86" s="979">
        <f t="shared" si="2"/>
        <v>780</v>
      </c>
      <c r="N86" s="150"/>
      <c r="O86" s="280">
        <v>20</v>
      </c>
      <c r="P86" s="227">
        <v>15</v>
      </c>
      <c r="Q86" s="228">
        <v>15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CQ653"/>
  <sheetViews>
    <sheetView showZeros="0" topLeftCell="U1" zoomScale="80" zoomScaleNormal="80" workbookViewId="0">
      <selection activeCell="X20" sqref="X20:AC26"/>
    </sheetView>
  </sheetViews>
  <sheetFormatPr defaultColWidth="9.33203125" defaultRowHeight="18" customHeight="1" x14ac:dyDescent="0.2"/>
  <cols>
    <col min="1" max="1" width="9.33203125" style="50"/>
    <col min="2" max="2" width="52.5" style="50" bestFit="1" customWidth="1"/>
    <col min="3" max="3" width="39.1640625" style="50" bestFit="1" customWidth="1"/>
    <col min="4" max="4" width="13.83203125" style="50" customWidth="1"/>
    <col min="5" max="5" width="51.1640625" style="50" bestFit="1" customWidth="1"/>
    <col min="6" max="6" width="16.83203125" style="50" bestFit="1" customWidth="1"/>
    <col min="7" max="7" width="19.5" style="50" bestFit="1" customWidth="1"/>
    <col min="8" max="8" width="33.5" style="50" bestFit="1" customWidth="1"/>
    <col min="9" max="9" width="24.1640625" style="50" bestFit="1" customWidth="1"/>
    <col min="10" max="10" width="11.83203125" style="50" bestFit="1" customWidth="1"/>
    <col min="11" max="11" width="24.1640625" style="50" bestFit="1" customWidth="1"/>
    <col min="12" max="12" width="13.5" style="50" bestFit="1" customWidth="1"/>
    <col min="13" max="13" width="12" style="50" bestFit="1" customWidth="1"/>
    <col min="14" max="14" width="12.5" style="50" bestFit="1" customWidth="1"/>
    <col min="15" max="15" width="17.83203125" style="50" bestFit="1" customWidth="1"/>
    <col min="16" max="16" width="22.5" style="50" bestFit="1" customWidth="1"/>
    <col min="17" max="17" width="19.5" style="51" bestFit="1" customWidth="1"/>
    <col min="18" max="18" width="19.33203125" style="51" bestFit="1" customWidth="1"/>
    <col min="19" max="19" width="5" style="51" customWidth="1"/>
    <col min="20" max="20" width="41" style="51" customWidth="1"/>
    <col min="21" max="22" width="25.33203125" style="51" customWidth="1"/>
    <col min="23" max="23" width="5" style="51" customWidth="1"/>
    <col min="24" max="24" width="33.6640625" style="50" customWidth="1"/>
    <col min="25" max="25" width="19.83203125" style="50" customWidth="1"/>
    <col min="26" max="26" width="14" style="50" customWidth="1"/>
    <col min="27" max="28" width="14.33203125" style="50" customWidth="1"/>
    <col min="29" max="29" width="16" style="50" customWidth="1"/>
    <col min="30" max="34" width="11.83203125" style="50" customWidth="1"/>
    <col min="35" max="35" width="28.33203125" style="50" customWidth="1"/>
    <col min="36" max="39" width="11.83203125" style="50" customWidth="1"/>
    <col min="40" max="40" width="14.6640625" style="50" customWidth="1"/>
    <col min="41" max="41" width="13.83203125" style="50" customWidth="1"/>
    <col min="42" max="44" width="11.83203125" style="50" customWidth="1"/>
    <col min="45" max="45" width="33.1640625" style="50" customWidth="1"/>
    <col min="46" max="46" width="16.1640625" style="50" customWidth="1"/>
    <col min="47" max="47" width="19.1640625" style="50" customWidth="1"/>
    <col min="48" max="56" width="11.83203125" style="50" customWidth="1"/>
    <col min="57" max="57" width="9.33203125" style="51" customWidth="1"/>
    <col min="58" max="16384" width="9.33203125" style="50"/>
  </cols>
  <sheetData>
    <row r="1" spans="2:57" ht="18" customHeight="1" thickBot="1" x14ac:dyDescent="0.25"/>
    <row r="2" spans="2:57" ht="18" customHeight="1" thickBot="1" x14ac:dyDescent="0.25">
      <c r="B2" s="167" t="s">
        <v>528</v>
      </c>
      <c r="C2" s="54"/>
      <c r="D2" s="54"/>
      <c r="E2" s="55"/>
      <c r="F2" s="55"/>
      <c r="G2" s="55"/>
      <c r="H2" s="55"/>
      <c r="I2" s="55"/>
      <c r="J2" s="55"/>
      <c r="K2" s="55"/>
      <c r="L2" s="55"/>
      <c r="M2" s="55"/>
      <c r="N2" s="55"/>
      <c r="O2" s="55"/>
      <c r="P2" s="55"/>
      <c r="Q2" s="55"/>
      <c r="R2" s="56"/>
      <c r="S2" s="57"/>
      <c r="T2" s="1451" t="s">
        <v>353</v>
      </c>
      <c r="U2" s="1452" t="s">
        <v>1074</v>
      </c>
      <c r="V2" s="1453" t="s">
        <v>1073</v>
      </c>
      <c r="W2" s="57"/>
      <c r="X2" s="254" t="s">
        <v>42</v>
      </c>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6"/>
    </row>
    <row r="3" spans="2:57" ht="18" customHeight="1" x14ac:dyDescent="0.2">
      <c r="B3" s="722" t="s">
        <v>71</v>
      </c>
      <c r="C3" s="723"/>
      <c r="D3" s="724"/>
      <c r="E3" s="58"/>
      <c r="F3" s="58"/>
      <c r="G3" s="58"/>
      <c r="H3" s="58"/>
      <c r="I3" s="58"/>
      <c r="J3" s="58"/>
      <c r="K3" s="59" t="s">
        <v>122</v>
      </c>
      <c r="L3" s="60" t="s">
        <v>123</v>
      </c>
      <c r="M3" s="60"/>
      <c r="N3" s="60"/>
      <c r="O3" s="60"/>
      <c r="P3" s="61"/>
      <c r="Q3" s="989"/>
      <c r="R3" s="990"/>
      <c r="S3" s="57"/>
      <c r="T3" s="996" t="s">
        <v>42</v>
      </c>
      <c r="U3" s="1462">
        <v>150</v>
      </c>
      <c r="V3" s="1456">
        <v>264</v>
      </c>
      <c r="W3" s="57"/>
      <c r="X3" s="138"/>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78"/>
    </row>
    <row r="4" spans="2:57" ht="18" customHeight="1" x14ac:dyDescent="0.2">
      <c r="B4" s="725" t="s">
        <v>426</v>
      </c>
      <c r="C4" s="726">
        <f>'01_ALGEMEEN'!F13</f>
        <v>10</v>
      </c>
      <c r="D4" s="727" t="s">
        <v>17</v>
      </c>
      <c r="E4" s="64"/>
      <c r="F4" s="64"/>
      <c r="G4" s="64"/>
      <c r="H4" s="64"/>
      <c r="I4" s="64"/>
      <c r="J4" s="64"/>
      <c r="K4" s="65" t="s">
        <v>124</v>
      </c>
      <c r="L4" s="66">
        <v>3.6</v>
      </c>
      <c r="M4" s="66">
        <v>5.4</v>
      </c>
      <c r="N4" s="66">
        <v>7.2</v>
      </c>
      <c r="O4" s="66">
        <v>10.8</v>
      </c>
      <c r="P4" s="66">
        <v>12.6</v>
      </c>
      <c r="Q4" s="148">
        <v>16</v>
      </c>
      <c r="R4" s="991"/>
      <c r="S4" s="57"/>
      <c r="T4" s="996"/>
      <c r="U4" s="1462">
        <v>200</v>
      </c>
      <c r="V4" s="1456">
        <v>303</v>
      </c>
      <c r="W4" s="57"/>
      <c r="X4" s="230" t="s">
        <v>42</v>
      </c>
      <c r="Y4" s="261" t="s">
        <v>213</v>
      </c>
      <c r="Z4" s="257">
        <v>60</v>
      </c>
      <c r="AA4" s="257" t="s">
        <v>76</v>
      </c>
      <c r="AB4" s="257"/>
      <c r="AC4" s="257"/>
      <c r="AD4" s="257"/>
      <c r="AE4" s="257"/>
      <c r="AF4" s="258"/>
      <c r="AG4" s="64"/>
      <c r="AH4" s="176"/>
      <c r="AI4" s="271" t="s">
        <v>42</v>
      </c>
      <c r="AJ4" s="276"/>
      <c r="AK4" s="268"/>
      <c r="AL4" s="268"/>
      <c r="AM4" s="268"/>
      <c r="AN4" s="268"/>
      <c r="AO4" s="268"/>
      <c r="AP4" s="268"/>
      <c r="AQ4" s="269"/>
      <c r="AR4" s="64"/>
      <c r="AS4" s="230" t="s">
        <v>42</v>
      </c>
      <c r="AT4" s="261" t="s">
        <v>213</v>
      </c>
      <c r="AU4" s="257">
        <v>120</v>
      </c>
      <c r="AV4" s="257" t="s">
        <v>76</v>
      </c>
      <c r="AW4" s="257"/>
      <c r="AX4" s="257"/>
      <c r="AY4" s="257"/>
      <c r="AZ4" s="257"/>
      <c r="BA4" s="258"/>
      <c r="BB4" s="64"/>
      <c r="BC4" s="64"/>
      <c r="BD4" s="78"/>
    </row>
    <row r="5" spans="2:57" ht="18" customHeight="1" x14ac:dyDescent="0.2">
      <c r="B5" s="92" t="s">
        <v>427</v>
      </c>
      <c r="C5" s="717">
        <f>'01_ALGEMEEN'!F14</f>
        <v>3.7</v>
      </c>
      <c r="D5" s="69" t="s">
        <v>17</v>
      </c>
      <c r="E5" s="64"/>
      <c r="F5" s="64"/>
      <c r="G5" s="64"/>
      <c r="H5" s="64"/>
      <c r="I5" s="64"/>
      <c r="J5" s="64"/>
      <c r="K5" s="65">
        <v>5</v>
      </c>
      <c r="L5" s="234">
        <f>1/8*K5*L4^2</f>
        <v>8.1000000000000014</v>
      </c>
      <c r="M5" s="234">
        <f>1/8*K5*M4^2</f>
        <v>18.225000000000001</v>
      </c>
      <c r="N5" s="234">
        <f>1/8*K5*N4^2</f>
        <v>32.400000000000006</v>
      </c>
      <c r="O5" s="234">
        <f>1/8*K5*O4^2</f>
        <v>72.900000000000006</v>
      </c>
      <c r="P5" s="234">
        <f>1/8*K5*P4^2</f>
        <v>99.224999999999994</v>
      </c>
      <c r="Q5" s="158">
        <f>1/8*K5*Q4^2</f>
        <v>160</v>
      </c>
      <c r="R5" s="991"/>
      <c r="S5" s="57"/>
      <c r="T5" s="996"/>
      <c r="U5" s="1462">
        <v>260</v>
      </c>
      <c r="V5" s="1456">
        <v>376</v>
      </c>
      <c r="W5" s="57"/>
      <c r="X5" s="1176" t="s">
        <v>75</v>
      </c>
      <c r="Y5" s="250" t="s">
        <v>74</v>
      </c>
      <c r="Z5" s="250"/>
      <c r="AA5" s="250"/>
      <c r="AB5" s="251"/>
      <c r="AC5" s="251"/>
      <c r="AD5" s="251"/>
      <c r="AE5" s="251"/>
      <c r="AF5" s="263"/>
      <c r="AG5" s="64"/>
      <c r="AH5" s="64"/>
      <c r="AI5" s="1177" t="s">
        <v>480</v>
      </c>
      <c r="AJ5" s="277" t="s">
        <v>74</v>
      </c>
      <c r="AK5" s="252"/>
      <c r="AL5" s="253"/>
      <c r="AM5" s="253"/>
      <c r="AN5" s="253"/>
      <c r="AO5" s="253"/>
      <c r="AP5" s="253"/>
      <c r="AQ5" s="270"/>
      <c r="AR5" s="64"/>
      <c r="AS5" s="1176" t="s">
        <v>75</v>
      </c>
      <c r="AT5" s="250" t="s">
        <v>74</v>
      </c>
      <c r="AU5" s="250"/>
      <c r="AV5" s="250"/>
      <c r="AW5" s="251"/>
      <c r="AX5" s="251"/>
      <c r="AY5" s="251"/>
      <c r="AZ5" s="251"/>
      <c r="BA5" s="263"/>
      <c r="BB5" s="64"/>
      <c r="BC5" s="64"/>
      <c r="BD5" s="78"/>
    </row>
    <row r="6" spans="2:57" ht="18" customHeight="1" x14ac:dyDescent="0.2">
      <c r="B6" s="74"/>
      <c r="C6" s="64"/>
      <c r="D6" s="75"/>
      <c r="E6" s="76"/>
      <c r="F6" s="64"/>
      <c r="G6" s="64"/>
      <c r="H6" s="64"/>
      <c r="I6" s="64"/>
      <c r="J6" s="64"/>
      <c r="K6" s="65">
        <v>10</v>
      </c>
      <c r="L6" s="234">
        <f>1/8*K6*L4^2</f>
        <v>16.200000000000003</v>
      </c>
      <c r="M6" s="234">
        <f>1/8*K6*M4^2</f>
        <v>36.450000000000003</v>
      </c>
      <c r="N6" s="234">
        <f>1/8*K6*N4^2</f>
        <v>64.800000000000011</v>
      </c>
      <c r="O6" s="234">
        <f>1/8*K6*O4^2</f>
        <v>145.80000000000001</v>
      </c>
      <c r="P6" s="234">
        <f>1/8*K6*P4^2</f>
        <v>198.45</v>
      </c>
      <c r="Q6" s="158">
        <f>1/8*K6*Q4^2</f>
        <v>320</v>
      </c>
      <c r="R6" s="991"/>
      <c r="S6" s="57"/>
      <c r="T6" s="996"/>
      <c r="U6" s="1462">
        <v>320</v>
      </c>
      <c r="V6" s="1456">
        <v>443</v>
      </c>
      <c r="W6" s="57"/>
      <c r="X6" s="259" t="s">
        <v>73</v>
      </c>
      <c r="Y6" s="264">
        <v>16</v>
      </c>
      <c r="Z6" s="265">
        <v>12.6</v>
      </c>
      <c r="AA6" s="265">
        <v>10.8</v>
      </c>
      <c r="AB6" s="265">
        <v>9</v>
      </c>
      <c r="AC6" s="265">
        <v>7.2</v>
      </c>
      <c r="AD6" s="265">
        <v>6.3</v>
      </c>
      <c r="AE6" s="265">
        <v>5.4</v>
      </c>
      <c r="AF6" s="266">
        <v>3.6</v>
      </c>
      <c r="AG6" s="64"/>
      <c r="AH6" s="64"/>
      <c r="AI6" s="1177" t="s">
        <v>73</v>
      </c>
      <c r="AJ6" s="273">
        <v>16</v>
      </c>
      <c r="AK6" s="274">
        <v>12.6</v>
      </c>
      <c r="AL6" s="274">
        <v>10.8</v>
      </c>
      <c r="AM6" s="274">
        <v>9</v>
      </c>
      <c r="AN6" s="274">
        <v>7.2</v>
      </c>
      <c r="AO6" s="274">
        <v>6.3</v>
      </c>
      <c r="AP6" s="274">
        <v>5.4</v>
      </c>
      <c r="AQ6" s="275">
        <v>3.6</v>
      </c>
      <c r="AR6" s="64"/>
      <c r="AS6" s="259" t="s">
        <v>73</v>
      </c>
      <c r="AT6" s="264">
        <v>16</v>
      </c>
      <c r="AU6" s="265">
        <v>12.6</v>
      </c>
      <c r="AV6" s="265">
        <v>10.8</v>
      </c>
      <c r="AW6" s="265">
        <v>9</v>
      </c>
      <c r="AX6" s="265">
        <v>7.2</v>
      </c>
      <c r="AY6" s="265">
        <v>6.3</v>
      </c>
      <c r="AZ6" s="265">
        <v>5.4</v>
      </c>
      <c r="BA6" s="266">
        <v>3.6</v>
      </c>
      <c r="BB6" s="64"/>
      <c r="BC6" s="64"/>
      <c r="BD6" s="78"/>
    </row>
    <row r="7" spans="2:57" ht="18" customHeight="1" x14ac:dyDescent="0.2">
      <c r="B7" s="718" t="s">
        <v>529</v>
      </c>
      <c r="C7" s="719"/>
      <c r="D7" s="719"/>
      <c r="E7" s="720" t="s">
        <v>530</v>
      </c>
      <c r="F7" s="719"/>
      <c r="G7" s="719"/>
      <c r="H7" s="720" t="s">
        <v>531</v>
      </c>
      <c r="I7" s="719"/>
      <c r="J7" s="721"/>
      <c r="K7" s="65">
        <v>15</v>
      </c>
      <c r="L7" s="234">
        <f>1/8*K7*L4^2</f>
        <v>24.3</v>
      </c>
      <c r="M7" s="234">
        <f>1/8*K7*M4^2</f>
        <v>54.675000000000004</v>
      </c>
      <c r="N7" s="234">
        <f>1/8*K7*N4^2</f>
        <v>97.2</v>
      </c>
      <c r="O7" s="234">
        <f>1/8*K7*O4^2</f>
        <v>218.70000000000002</v>
      </c>
      <c r="P7" s="234">
        <f>1/8*K7*P4^2</f>
        <v>297.67499999999995</v>
      </c>
      <c r="Q7" s="158">
        <f>1/8*K7*Q4^2</f>
        <v>480</v>
      </c>
      <c r="R7" s="991"/>
      <c r="S7" s="57"/>
      <c r="T7" s="996"/>
      <c r="U7" s="1462">
        <v>400</v>
      </c>
      <c r="V7" s="1456">
        <v>548</v>
      </c>
      <c r="W7" s="57"/>
      <c r="X7" s="1176">
        <v>5</v>
      </c>
      <c r="Y7" s="156">
        <v>400</v>
      </c>
      <c r="Z7" s="156">
        <v>320</v>
      </c>
      <c r="AA7" s="156">
        <v>320</v>
      </c>
      <c r="AB7" s="156">
        <v>200</v>
      </c>
      <c r="AC7" s="156">
        <v>200</v>
      </c>
      <c r="AD7" s="156">
        <v>150</v>
      </c>
      <c r="AE7" s="156">
        <v>150</v>
      </c>
      <c r="AF7" s="1161">
        <v>150</v>
      </c>
      <c r="AG7" s="64"/>
      <c r="AH7" s="64"/>
      <c r="AI7" s="1177">
        <v>5</v>
      </c>
      <c r="AJ7" s="982" t="s">
        <v>561</v>
      </c>
      <c r="AK7" s="983">
        <f t="shared" ref="AK7:AQ9" si="0">((AK15/1000000)/$BA$13)*$BA$12</f>
        <v>12.194000000000001</v>
      </c>
      <c r="AL7" s="983">
        <f t="shared" si="0"/>
        <v>5.5380000000000003</v>
      </c>
      <c r="AM7" s="983">
        <f t="shared" si="0"/>
        <v>4.8490000000000002</v>
      </c>
      <c r="AN7" s="983">
        <f t="shared" si="0"/>
        <v>2.86</v>
      </c>
      <c r="AO7" s="983">
        <f t="shared" si="0"/>
        <v>1.95</v>
      </c>
      <c r="AP7" s="983">
        <f t="shared" si="0"/>
        <v>1.82</v>
      </c>
      <c r="AQ7" s="984">
        <f t="shared" si="0"/>
        <v>1.04</v>
      </c>
      <c r="AR7" s="64"/>
      <c r="AS7" s="1176">
        <v>5</v>
      </c>
      <c r="AT7" s="156">
        <v>400</v>
      </c>
      <c r="AU7" s="156">
        <v>320</v>
      </c>
      <c r="AV7" s="156">
        <v>320</v>
      </c>
      <c r="AW7" s="156">
        <v>200</v>
      </c>
      <c r="AX7" s="156">
        <v>200</v>
      </c>
      <c r="AY7" s="156">
        <v>200</v>
      </c>
      <c r="AZ7" s="156">
        <v>200</v>
      </c>
      <c r="BA7" s="1161">
        <v>200</v>
      </c>
      <c r="BB7" s="64"/>
      <c r="BC7" s="64"/>
      <c r="BD7" s="78"/>
    </row>
    <row r="8" spans="2:57" ht="18" customHeight="1" x14ac:dyDescent="0.2">
      <c r="B8" s="67" t="s">
        <v>62</v>
      </c>
      <c r="C8" s="132">
        <f>'01_ALGEMEEN'!P100</f>
        <v>0.24</v>
      </c>
      <c r="D8" s="64" t="s">
        <v>16</v>
      </c>
      <c r="E8" s="867" t="s">
        <v>62</v>
      </c>
      <c r="F8" s="131">
        <f>'01_ALGEMEEN'!P145</f>
        <v>0.24</v>
      </c>
      <c r="G8" s="57" t="s">
        <v>16</v>
      </c>
      <c r="H8" s="867" t="s">
        <v>62</v>
      </c>
      <c r="I8" s="131">
        <f>'01_ALGEMEEN'!P190</f>
        <v>1.68</v>
      </c>
      <c r="J8" s="868" t="s">
        <v>16</v>
      </c>
      <c r="K8" s="65">
        <v>20</v>
      </c>
      <c r="L8" s="234">
        <f>1/8*K8*L4^2</f>
        <v>32.400000000000006</v>
      </c>
      <c r="M8" s="234">
        <f>1/8*K8*M4^2</f>
        <v>72.900000000000006</v>
      </c>
      <c r="N8" s="234">
        <f>1/8*K8*N4^2</f>
        <v>129.60000000000002</v>
      </c>
      <c r="O8" s="234">
        <f>1/8*K8*O4^2</f>
        <v>291.60000000000002</v>
      </c>
      <c r="P8" s="234">
        <f>1/8*K8*P4^2</f>
        <v>396.9</v>
      </c>
      <c r="Q8" s="158">
        <f>1/8*K8*Q4^2</f>
        <v>640</v>
      </c>
      <c r="R8" s="991"/>
      <c r="S8" s="57"/>
      <c r="T8" s="996"/>
      <c r="U8" s="1462" t="s">
        <v>561</v>
      </c>
      <c r="V8" s="1456" t="s">
        <v>561</v>
      </c>
      <c r="W8" s="57"/>
      <c r="X8" s="1176">
        <v>10</v>
      </c>
      <c r="Y8" s="156" t="s">
        <v>561</v>
      </c>
      <c r="Z8" s="156">
        <v>400</v>
      </c>
      <c r="AA8" s="156">
        <v>320</v>
      </c>
      <c r="AB8" s="156">
        <v>320</v>
      </c>
      <c r="AC8" s="156">
        <v>200</v>
      </c>
      <c r="AD8" s="156">
        <v>200</v>
      </c>
      <c r="AE8" s="156">
        <v>200</v>
      </c>
      <c r="AF8" s="1161">
        <v>150</v>
      </c>
      <c r="AG8" s="64"/>
      <c r="AH8" s="64"/>
      <c r="AI8" s="1177">
        <v>10</v>
      </c>
      <c r="AJ8" s="982" t="s">
        <v>561</v>
      </c>
      <c r="AK8" s="983">
        <f t="shared" si="0"/>
        <v>12.194000000000001</v>
      </c>
      <c r="AL8" s="983">
        <f t="shared" si="0"/>
        <v>6.4870000000000001</v>
      </c>
      <c r="AM8" s="983">
        <f t="shared" si="0"/>
        <v>5.5380000000000003</v>
      </c>
      <c r="AN8" s="983">
        <f t="shared" si="0"/>
        <v>2.99</v>
      </c>
      <c r="AO8" s="983">
        <f t="shared" si="0"/>
        <v>2.86</v>
      </c>
      <c r="AP8" s="983">
        <f t="shared" si="0"/>
        <v>1.95</v>
      </c>
      <c r="AQ8" s="984">
        <f t="shared" si="0"/>
        <v>1.3000000000000003</v>
      </c>
      <c r="AR8" s="64"/>
      <c r="AS8" s="1176">
        <v>10</v>
      </c>
      <c r="AT8" s="156" t="s">
        <v>561</v>
      </c>
      <c r="AU8" s="156">
        <v>400</v>
      </c>
      <c r="AV8" s="156">
        <v>320</v>
      </c>
      <c r="AW8" s="156">
        <v>320</v>
      </c>
      <c r="AX8" s="156">
        <v>200</v>
      </c>
      <c r="AY8" s="156">
        <v>200</v>
      </c>
      <c r="AZ8" s="156">
        <v>200</v>
      </c>
      <c r="BA8" s="1161">
        <v>200</v>
      </c>
      <c r="BB8" s="64"/>
      <c r="BC8" s="64"/>
      <c r="BD8" s="78"/>
    </row>
    <row r="9" spans="2:57" ht="18" customHeight="1" x14ac:dyDescent="0.2">
      <c r="B9" s="67" t="s">
        <v>63</v>
      </c>
      <c r="C9" s="86">
        <f>VLOOKUP(C20,C22:Q40,15,0)*1.2</f>
        <v>0</v>
      </c>
      <c r="D9" s="64" t="s">
        <v>16</v>
      </c>
      <c r="E9" s="867" t="s">
        <v>63</v>
      </c>
      <c r="F9" s="86">
        <f>VLOOKUP(C45,C47:Q65,15,0)*1.2</f>
        <v>0</v>
      </c>
      <c r="G9" s="57" t="s">
        <v>16</v>
      </c>
      <c r="H9" s="867" t="s">
        <v>63</v>
      </c>
      <c r="I9" s="86">
        <f>VLOOKUP(C70,C72:Q98,15,0)*1.2</f>
        <v>0</v>
      </c>
      <c r="J9" s="868" t="s">
        <v>16</v>
      </c>
      <c r="K9" s="65"/>
      <c r="L9" s="70"/>
      <c r="M9" s="70"/>
      <c r="N9" s="70"/>
      <c r="O9" s="70"/>
      <c r="P9" s="79"/>
      <c r="Q9" s="148"/>
      <c r="R9" s="991"/>
      <c r="S9" s="57"/>
      <c r="T9" s="1454" t="s">
        <v>352</v>
      </c>
      <c r="U9" s="1461">
        <v>150</v>
      </c>
      <c r="V9" s="1477">
        <f>V3+144</f>
        <v>408</v>
      </c>
      <c r="W9" s="57"/>
      <c r="X9" s="1176">
        <v>15</v>
      </c>
      <c r="Y9" s="156" t="s">
        <v>561</v>
      </c>
      <c r="Z9" s="156" t="s">
        <v>561</v>
      </c>
      <c r="AA9" s="156">
        <v>400</v>
      </c>
      <c r="AB9" s="156">
        <v>320</v>
      </c>
      <c r="AC9" s="156">
        <v>320</v>
      </c>
      <c r="AD9" s="156">
        <v>320</v>
      </c>
      <c r="AE9" s="156">
        <v>200</v>
      </c>
      <c r="AF9" s="1161">
        <v>150</v>
      </c>
      <c r="AG9" s="64"/>
      <c r="AH9" s="64"/>
      <c r="AI9" s="1177">
        <v>15</v>
      </c>
      <c r="AJ9" s="982" t="s">
        <v>561</v>
      </c>
      <c r="AK9" s="983">
        <f t="shared" si="0"/>
        <v>10.374000000000001</v>
      </c>
      <c r="AL9" s="983">
        <f t="shared" si="0"/>
        <v>9.9060000000000006</v>
      </c>
      <c r="AM9" s="983">
        <f t="shared" si="0"/>
        <v>8.9960000000000004</v>
      </c>
      <c r="AN9" s="983">
        <f t="shared" si="0"/>
        <v>4.8490000000000002</v>
      </c>
      <c r="AO9" s="983">
        <f t="shared" si="0"/>
        <v>4.16</v>
      </c>
      <c r="AP9" s="983">
        <f t="shared" si="0"/>
        <v>2.86</v>
      </c>
      <c r="AQ9" s="984">
        <f t="shared" si="0"/>
        <v>1.82</v>
      </c>
      <c r="AR9" s="64"/>
      <c r="AS9" s="1176">
        <v>15</v>
      </c>
      <c r="AT9" s="156" t="s">
        <v>561</v>
      </c>
      <c r="AU9" s="156" t="s">
        <v>561</v>
      </c>
      <c r="AV9" s="156">
        <v>400</v>
      </c>
      <c r="AW9" s="156">
        <v>320</v>
      </c>
      <c r="AX9" s="156">
        <v>320</v>
      </c>
      <c r="AY9" s="156">
        <v>320</v>
      </c>
      <c r="AZ9" s="156">
        <v>200</v>
      </c>
      <c r="BA9" s="1161">
        <v>200</v>
      </c>
      <c r="BB9" s="64"/>
      <c r="BC9" s="64"/>
      <c r="BD9" s="78"/>
    </row>
    <row r="10" spans="2:57" ht="18" customHeight="1" x14ac:dyDescent="0.2">
      <c r="B10" s="67" t="s">
        <v>632</v>
      </c>
      <c r="C10" s="248">
        <f>'01_ALGEMEEN'!P101</f>
        <v>4.5</v>
      </c>
      <c r="D10" s="64" t="s">
        <v>16</v>
      </c>
      <c r="E10" s="867" t="s">
        <v>632</v>
      </c>
      <c r="F10" s="882">
        <f>'01_ALGEMEEN'!P146</f>
        <v>5.25</v>
      </c>
      <c r="G10" s="57" t="s">
        <v>16</v>
      </c>
      <c r="H10" s="867" t="s">
        <v>632</v>
      </c>
      <c r="I10" s="882">
        <f>'01_ALGEMEEN'!P191</f>
        <v>1.5</v>
      </c>
      <c r="J10" s="868" t="s">
        <v>16</v>
      </c>
      <c r="K10" s="65" t="s">
        <v>125</v>
      </c>
      <c r="L10" s="79">
        <v>36.450000000000003</v>
      </c>
      <c r="M10" s="79" t="s">
        <v>92</v>
      </c>
      <c r="N10" s="79"/>
      <c r="O10" s="33" t="s">
        <v>126</v>
      </c>
      <c r="P10" s="70" t="s">
        <v>127</v>
      </c>
      <c r="Q10" s="992">
        <f>L10*10^6/(0.9*L13*L14)</f>
        <v>550.90797796368088</v>
      </c>
      <c r="R10" s="991" t="s">
        <v>128</v>
      </c>
      <c r="S10" s="57"/>
      <c r="T10" s="996"/>
      <c r="U10" s="1462">
        <v>200</v>
      </c>
      <c r="V10" s="1459">
        <f>V4+144</f>
        <v>447</v>
      </c>
      <c r="W10" s="57"/>
      <c r="X10" s="262">
        <v>20</v>
      </c>
      <c r="Y10" s="899" t="s">
        <v>561</v>
      </c>
      <c r="Z10" s="899" t="s">
        <v>561</v>
      </c>
      <c r="AA10" s="899">
        <v>400</v>
      </c>
      <c r="AB10" s="1134">
        <v>400</v>
      </c>
      <c r="AC10" s="899">
        <v>320</v>
      </c>
      <c r="AD10" s="899">
        <v>320</v>
      </c>
      <c r="AE10" s="899">
        <v>320</v>
      </c>
      <c r="AF10" s="1162">
        <v>200</v>
      </c>
      <c r="AG10" s="64"/>
      <c r="AH10" s="64"/>
      <c r="AI10" s="272">
        <v>20</v>
      </c>
      <c r="AJ10" s="985" t="s">
        <v>561</v>
      </c>
      <c r="AK10" s="986" t="s">
        <v>561</v>
      </c>
      <c r="AL10" s="987">
        <f t="shared" ref="AL10:AQ10" si="1">((AL18/1000000)/$BA$13)*$BA$12</f>
        <v>10.374000000000001</v>
      </c>
      <c r="AM10" s="987">
        <f t="shared" si="1"/>
        <v>7.1760000000000002</v>
      </c>
      <c r="AN10" s="987">
        <f t="shared" si="1"/>
        <v>5.5380000000000003</v>
      </c>
      <c r="AO10" s="987">
        <f t="shared" si="1"/>
        <v>3.9</v>
      </c>
      <c r="AP10" s="987">
        <f t="shared" si="1"/>
        <v>4.16</v>
      </c>
      <c r="AQ10" s="988">
        <f t="shared" si="1"/>
        <v>2.08</v>
      </c>
      <c r="AR10" s="64"/>
      <c r="AS10" s="262">
        <v>20</v>
      </c>
      <c r="AT10" s="899" t="s">
        <v>561</v>
      </c>
      <c r="AU10" s="899" t="s">
        <v>561</v>
      </c>
      <c r="AV10" s="899">
        <v>400</v>
      </c>
      <c r="AW10" s="1134">
        <v>400</v>
      </c>
      <c r="AX10" s="899">
        <v>320</v>
      </c>
      <c r="AY10" s="899">
        <v>320</v>
      </c>
      <c r="AZ10" s="899">
        <v>320</v>
      </c>
      <c r="BA10" s="1162">
        <v>200</v>
      </c>
      <c r="BB10" s="64"/>
      <c r="BC10" s="64"/>
      <c r="BD10" s="78"/>
    </row>
    <row r="11" spans="2:57" ht="18" customHeight="1" x14ac:dyDescent="0.2">
      <c r="B11" s="81" t="s">
        <v>77</v>
      </c>
      <c r="C11" s="249">
        <f>SUM(C8:C10)</f>
        <v>4.74</v>
      </c>
      <c r="D11" s="82" t="s">
        <v>16</v>
      </c>
      <c r="E11" s="222" t="s">
        <v>77</v>
      </c>
      <c r="F11" s="1076">
        <f>SUM(F8:F10)</f>
        <v>5.49</v>
      </c>
      <c r="G11" s="869" t="s">
        <v>16</v>
      </c>
      <c r="H11" s="222" t="s">
        <v>77</v>
      </c>
      <c r="I11" s="1076">
        <f>SUM(I8:I10)</f>
        <v>3.1799999999999997</v>
      </c>
      <c r="J11" s="870" t="s">
        <v>16</v>
      </c>
      <c r="K11" s="65" t="s">
        <v>129</v>
      </c>
      <c r="L11" s="79">
        <v>200</v>
      </c>
      <c r="M11" s="79" t="s">
        <v>130</v>
      </c>
      <c r="N11" s="79"/>
      <c r="O11" s="79" t="s">
        <v>131</v>
      </c>
      <c r="P11" s="70" t="s">
        <v>132</v>
      </c>
      <c r="Q11" s="158">
        <f>Q10/(L15*L13*10^(-2))</f>
        <v>0.32598105204951533</v>
      </c>
      <c r="R11" s="991"/>
      <c r="S11" s="57"/>
      <c r="T11" s="996"/>
      <c r="U11" s="1462">
        <v>260</v>
      </c>
      <c r="V11" s="1459">
        <f>V5+144</f>
        <v>520</v>
      </c>
      <c r="W11" s="57"/>
      <c r="X11" s="138"/>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78"/>
    </row>
    <row r="12" spans="2:57" ht="18" customHeight="1" x14ac:dyDescent="0.2">
      <c r="B12" s="67"/>
      <c r="C12" s="132"/>
      <c r="D12" s="64"/>
      <c r="E12" s="867"/>
      <c r="F12" s="131"/>
      <c r="G12" s="57"/>
      <c r="H12" s="867"/>
      <c r="I12" s="131"/>
      <c r="J12" s="868"/>
      <c r="K12" s="65" t="s">
        <v>133</v>
      </c>
      <c r="L12" s="79">
        <v>31</v>
      </c>
      <c r="M12" s="79" t="s">
        <v>130</v>
      </c>
      <c r="N12" s="79"/>
      <c r="O12" s="79" t="s">
        <v>134</v>
      </c>
      <c r="P12" s="79"/>
      <c r="Q12" s="148"/>
      <c r="R12" s="991"/>
      <c r="S12" s="57"/>
      <c r="T12" s="996"/>
      <c r="U12" s="1462">
        <v>320</v>
      </c>
      <c r="V12" s="1459">
        <f>V6+144</f>
        <v>587</v>
      </c>
      <c r="W12" s="57"/>
      <c r="X12" s="230" t="s">
        <v>42</v>
      </c>
      <c r="Y12" s="261" t="s">
        <v>213</v>
      </c>
      <c r="Z12" s="257">
        <v>90</v>
      </c>
      <c r="AA12" s="257" t="s">
        <v>76</v>
      </c>
      <c r="AB12" s="257"/>
      <c r="AC12" s="257"/>
      <c r="AD12" s="257"/>
      <c r="AE12" s="257"/>
      <c r="AF12" s="258"/>
      <c r="AG12" s="90"/>
      <c r="AH12" s="89"/>
      <c r="AI12" s="271" t="s">
        <v>42</v>
      </c>
      <c r="AJ12" s="267" t="s">
        <v>485</v>
      </c>
      <c r="AK12" s="268"/>
      <c r="AL12" s="268"/>
      <c r="AM12" s="268"/>
      <c r="AN12" s="268"/>
      <c r="AO12" s="268"/>
      <c r="AP12" s="268"/>
      <c r="AQ12" s="269"/>
      <c r="AR12" s="64"/>
      <c r="AS12" s="309" t="s">
        <v>79</v>
      </c>
      <c r="AT12" s="1178" t="s">
        <v>99</v>
      </c>
      <c r="AU12" s="310" t="s">
        <v>102</v>
      </c>
      <c r="AV12" s="1178" t="s">
        <v>80</v>
      </c>
      <c r="AW12" s="311" t="s">
        <v>100</v>
      </c>
      <c r="AX12" s="64"/>
      <c r="AY12" s="64"/>
      <c r="AZ12" s="312" t="s">
        <v>2</v>
      </c>
      <c r="BA12" s="313">
        <v>7800</v>
      </c>
      <c r="BB12" s="314" t="s">
        <v>137</v>
      </c>
      <c r="BC12" s="64"/>
      <c r="BD12" s="78"/>
      <c r="BE12" s="83"/>
    </row>
    <row r="13" spans="2:57" ht="18" customHeight="1" x14ac:dyDescent="0.2">
      <c r="B13" s="84" t="s">
        <v>1061</v>
      </c>
      <c r="C13" s="1080">
        <f>CEILING(C11,5)</f>
        <v>5</v>
      </c>
      <c r="D13" s="85" t="s">
        <v>16</v>
      </c>
      <c r="E13" s="871" t="s">
        <v>78</v>
      </c>
      <c r="F13" s="1077">
        <f>CEILING(F11,5)</f>
        <v>10</v>
      </c>
      <c r="G13" s="872" t="s">
        <v>16</v>
      </c>
      <c r="H13" s="871" t="s">
        <v>78</v>
      </c>
      <c r="I13" s="1077">
        <f>CEILING(I11,5)</f>
        <v>5</v>
      </c>
      <c r="J13" s="873" t="s">
        <v>16</v>
      </c>
      <c r="K13" s="65" t="s">
        <v>135</v>
      </c>
      <c r="L13" s="234">
        <f>L11-L12</f>
        <v>169</v>
      </c>
      <c r="M13" s="79" t="s">
        <v>130</v>
      </c>
      <c r="N13" s="79"/>
      <c r="O13" s="66" t="s">
        <v>136</v>
      </c>
      <c r="P13" s="66"/>
      <c r="Q13" s="148">
        <v>7800</v>
      </c>
      <c r="R13" s="993" t="s">
        <v>137</v>
      </c>
      <c r="S13" s="57"/>
      <c r="T13" s="996"/>
      <c r="U13" s="1462">
        <v>400</v>
      </c>
      <c r="V13" s="1459">
        <f>V7+144</f>
        <v>692</v>
      </c>
      <c r="W13" s="57"/>
      <c r="X13" s="1176" t="s">
        <v>75</v>
      </c>
      <c r="Y13" s="250" t="s">
        <v>74</v>
      </c>
      <c r="Z13" s="250"/>
      <c r="AA13" s="250"/>
      <c r="AB13" s="251"/>
      <c r="AC13" s="251"/>
      <c r="AD13" s="251"/>
      <c r="AE13" s="251"/>
      <c r="AF13" s="263"/>
      <c r="AG13" s="91"/>
      <c r="AH13" s="89"/>
      <c r="AI13" s="1177" t="s">
        <v>481</v>
      </c>
      <c r="AJ13" s="252" t="s">
        <v>74</v>
      </c>
      <c r="AK13" s="252"/>
      <c r="AL13" s="253"/>
      <c r="AM13" s="253"/>
      <c r="AN13" s="253"/>
      <c r="AO13" s="253"/>
      <c r="AP13" s="253"/>
      <c r="AQ13" s="270"/>
      <c r="AR13" s="64"/>
      <c r="AS13" s="77">
        <v>150</v>
      </c>
      <c r="AT13" s="64">
        <v>264</v>
      </c>
      <c r="AU13" s="64"/>
      <c r="AV13" s="64">
        <f>0.06*2400</f>
        <v>144</v>
      </c>
      <c r="AW13" s="78">
        <v>3</v>
      </c>
      <c r="AX13" s="64"/>
      <c r="AY13" s="64"/>
      <c r="AZ13" s="312" t="s">
        <v>190</v>
      </c>
      <c r="BA13" s="313">
        <v>1.2</v>
      </c>
      <c r="BB13" s="314" t="s">
        <v>17</v>
      </c>
      <c r="BC13" s="64"/>
      <c r="BD13" s="78"/>
    </row>
    <row r="14" spans="2:57" ht="18" customHeight="1" x14ac:dyDescent="0.2">
      <c r="B14" s="62"/>
      <c r="C14" s="1081"/>
      <c r="D14" s="75"/>
      <c r="E14" s="874"/>
      <c r="F14" s="1078"/>
      <c r="G14" s="875"/>
      <c r="H14" s="874"/>
      <c r="I14" s="1078"/>
      <c r="J14" s="727"/>
      <c r="K14" s="65" t="s">
        <v>138</v>
      </c>
      <c r="L14" s="79">
        <v>435</v>
      </c>
      <c r="M14" s="79" t="s">
        <v>139</v>
      </c>
      <c r="N14" s="79"/>
      <c r="O14" s="66"/>
      <c r="P14" s="66"/>
      <c r="Q14" s="148"/>
      <c r="R14" s="993"/>
      <c r="S14" s="57"/>
      <c r="T14" s="222"/>
      <c r="U14" s="1478" t="s">
        <v>561</v>
      </c>
      <c r="V14" s="1479" t="s">
        <v>561</v>
      </c>
      <c r="W14" s="57"/>
      <c r="X14" s="259" t="s">
        <v>73</v>
      </c>
      <c r="Y14" s="264">
        <v>16</v>
      </c>
      <c r="Z14" s="265">
        <v>12.6</v>
      </c>
      <c r="AA14" s="265">
        <v>10.8</v>
      </c>
      <c r="AB14" s="265">
        <v>9</v>
      </c>
      <c r="AC14" s="265">
        <v>7.2</v>
      </c>
      <c r="AD14" s="265">
        <v>6.3</v>
      </c>
      <c r="AE14" s="265">
        <v>5.4</v>
      </c>
      <c r="AF14" s="266">
        <v>3.6</v>
      </c>
      <c r="AG14" s="91"/>
      <c r="AH14" s="89"/>
      <c r="AI14" s="1177" t="s">
        <v>73</v>
      </c>
      <c r="AJ14" s="273">
        <v>16</v>
      </c>
      <c r="AK14" s="274">
        <v>12.6</v>
      </c>
      <c r="AL14" s="274">
        <v>10.8</v>
      </c>
      <c r="AM14" s="274">
        <v>9</v>
      </c>
      <c r="AN14" s="274">
        <v>7.2</v>
      </c>
      <c r="AO14" s="274">
        <v>6.3</v>
      </c>
      <c r="AP14" s="274">
        <v>5.4</v>
      </c>
      <c r="AQ14" s="275">
        <v>3.6</v>
      </c>
      <c r="AR14" s="64"/>
      <c r="AS14" s="77">
        <v>200</v>
      </c>
      <c r="AT14" s="64">
        <v>303</v>
      </c>
      <c r="AU14" s="64"/>
      <c r="AV14" s="64">
        <f>0.06*2400</f>
        <v>144</v>
      </c>
      <c r="AW14" s="78">
        <v>3</v>
      </c>
      <c r="AX14" s="64"/>
      <c r="AY14" s="64"/>
      <c r="AZ14" s="64"/>
      <c r="BA14" s="64"/>
      <c r="BB14" s="64"/>
      <c r="BC14" s="64"/>
      <c r="BD14" s="78"/>
    </row>
    <row r="15" spans="2:57" ht="18" customHeight="1" thickBot="1" x14ac:dyDescent="0.25">
      <c r="B15" s="879" t="s">
        <v>50</v>
      </c>
      <c r="C15" s="1079">
        <f>'01_ALGEMEEN'!F55</f>
        <v>120</v>
      </c>
      <c r="D15" s="877" t="s">
        <v>76</v>
      </c>
      <c r="E15" s="876" t="s">
        <v>50</v>
      </c>
      <c r="F15" s="1079">
        <f>'01_ALGEMEEN'!F55</f>
        <v>120</v>
      </c>
      <c r="G15" s="877" t="s">
        <v>76</v>
      </c>
      <c r="H15" s="876" t="s">
        <v>50</v>
      </c>
      <c r="I15" s="1079">
        <f>'01_ALGEMEEN'!F55</f>
        <v>120</v>
      </c>
      <c r="J15" s="878" t="s">
        <v>76</v>
      </c>
      <c r="K15" s="87" t="s">
        <v>140</v>
      </c>
      <c r="L15" s="88">
        <v>1000</v>
      </c>
      <c r="M15" s="88" t="s">
        <v>130</v>
      </c>
      <c r="N15" s="88"/>
      <c r="O15" s="88"/>
      <c r="P15" s="88"/>
      <c r="Q15" s="994"/>
      <c r="R15" s="995"/>
      <c r="S15" s="57"/>
      <c r="T15" s="996" t="s">
        <v>618</v>
      </c>
      <c r="U15" s="1462">
        <v>150</v>
      </c>
      <c r="V15" s="1459">
        <f>U15*2.4</f>
        <v>360</v>
      </c>
      <c r="W15" s="57"/>
      <c r="X15" s="1176">
        <v>5</v>
      </c>
      <c r="Y15" s="156">
        <v>400</v>
      </c>
      <c r="Z15" s="156">
        <v>320</v>
      </c>
      <c r="AA15" s="156">
        <v>320</v>
      </c>
      <c r="AB15" s="156">
        <v>200</v>
      </c>
      <c r="AC15" s="156">
        <v>200</v>
      </c>
      <c r="AD15" s="156">
        <v>200</v>
      </c>
      <c r="AE15" s="156">
        <v>150</v>
      </c>
      <c r="AF15" s="1161">
        <v>150</v>
      </c>
      <c r="AG15" s="91"/>
      <c r="AH15" s="89"/>
      <c r="AI15" s="1177">
        <v>5</v>
      </c>
      <c r="AJ15" s="156" t="s">
        <v>561</v>
      </c>
      <c r="AK15" s="57">
        <v>1876</v>
      </c>
      <c r="AL15" s="57">
        <f>4*123+4*70+4*20</f>
        <v>852</v>
      </c>
      <c r="AM15" s="57">
        <f>2*123+6*70+4*20</f>
        <v>746</v>
      </c>
      <c r="AN15" s="57">
        <f>4*70+8*20</f>
        <v>440</v>
      </c>
      <c r="AO15" s="57">
        <v>300</v>
      </c>
      <c r="AP15" s="57">
        <v>280</v>
      </c>
      <c r="AQ15" s="868">
        <v>160</v>
      </c>
      <c r="AR15" s="64"/>
      <c r="AS15" s="77">
        <v>320</v>
      </c>
      <c r="AT15" s="64">
        <v>443</v>
      </c>
      <c r="AU15" s="64"/>
      <c r="AV15" s="64">
        <f>0.08*2400</f>
        <v>192</v>
      </c>
      <c r="AW15" s="78">
        <v>3</v>
      </c>
      <c r="AX15" s="64"/>
      <c r="AY15" s="64"/>
      <c r="AZ15" s="64"/>
      <c r="BA15" s="64"/>
      <c r="BB15" s="64"/>
      <c r="BC15" s="64"/>
      <c r="BD15" s="78"/>
    </row>
    <row r="16" spans="2:57" ht="18" customHeight="1" thickBot="1" x14ac:dyDescent="0.25">
      <c r="S16" s="57"/>
      <c r="T16" s="996"/>
      <c r="U16" s="1462">
        <v>200</v>
      </c>
      <c r="V16" s="1459">
        <f t="shared" ref="V16:V18" si="2">U16*2.4</f>
        <v>480</v>
      </c>
      <c r="W16" s="57"/>
      <c r="X16" s="1176">
        <v>10</v>
      </c>
      <c r="Y16" s="156" t="s">
        <v>561</v>
      </c>
      <c r="Z16" s="156">
        <v>400</v>
      </c>
      <c r="AA16" s="156">
        <v>320</v>
      </c>
      <c r="AB16" s="156">
        <v>320</v>
      </c>
      <c r="AC16" s="156">
        <v>200</v>
      </c>
      <c r="AD16" s="156">
        <v>200</v>
      </c>
      <c r="AE16" s="156">
        <v>200</v>
      </c>
      <c r="AF16" s="1161">
        <v>150</v>
      </c>
      <c r="AG16" s="91"/>
      <c r="AH16" s="89"/>
      <c r="AI16" s="1177">
        <v>10</v>
      </c>
      <c r="AJ16" s="156" t="s">
        <v>561</v>
      </c>
      <c r="AK16" s="57">
        <f>12*123+4*70+6*20</f>
        <v>1876</v>
      </c>
      <c r="AL16" s="57">
        <v>998</v>
      </c>
      <c r="AM16" s="57">
        <f>4*123+4*70+4*20</f>
        <v>852</v>
      </c>
      <c r="AN16" s="57">
        <f>6*70+2*20</f>
        <v>460</v>
      </c>
      <c r="AO16" s="57">
        <f>4*70+8*20</f>
        <v>440</v>
      </c>
      <c r="AP16" s="57">
        <f>2*70+8*20</f>
        <v>300</v>
      </c>
      <c r="AQ16" s="868">
        <f>10*20</f>
        <v>200</v>
      </c>
      <c r="AR16" s="64"/>
      <c r="AS16" s="80">
        <v>400</v>
      </c>
      <c r="AT16" s="76">
        <v>548</v>
      </c>
      <c r="AU16" s="76"/>
      <c r="AV16" s="76">
        <f>0.08*2400</f>
        <v>192</v>
      </c>
      <c r="AW16" s="69">
        <v>3</v>
      </c>
      <c r="AX16" s="64"/>
      <c r="AY16" s="64"/>
      <c r="AZ16" s="64"/>
      <c r="BA16" s="64"/>
      <c r="BB16" s="64"/>
      <c r="BC16" s="64"/>
      <c r="BD16" s="78"/>
    </row>
    <row r="17" spans="1:95" ht="18" customHeight="1" thickBot="1" x14ac:dyDescent="0.25">
      <c r="B17" s="167" t="s">
        <v>304</v>
      </c>
      <c r="C17" s="54"/>
      <c r="D17" s="54"/>
      <c r="E17" s="55"/>
      <c r="F17" s="55"/>
      <c r="G17" s="55"/>
      <c r="H17" s="55"/>
      <c r="I17" s="55"/>
      <c r="J17" s="55"/>
      <c r="K17" s="55"/>
      <c r="L17" s="55"/>
      <c r="M17" s="55"/>
      <c r="N17" s="55"/>
      <c r="O17" s="55"/>
      <c r="P17" s="55"/>
      <c r="Q17" s="55"/>
      <c r="R17" s="56"/>
      <c r="S17" s="57"/>
      <c r="T17" s="996"/>
      <c r="U17" s="1462">
        <v>350</v>
      </c>
      <c r="V17" s="1459">
        <f t="shared" si="2"/>
        <v>840</v>
      </c>
      <c r="W17" s="57"/>
      <c r="X17" s="1176">
        <v>15</v>
      </c>
      <c r="Y17" s="156" t="s">
        <v>561</v>
      </c>
      <c r="Z17" s="156" t="s">
        <v>561</v>
      </c>
      <c r="AA17" s="156">
        <v>400</v>
      </c>
      <c r="AB17" s="156">
        <v>320</v>
      </c>
      <c r="AC17" s="156">
        <v>320</v>
      </c>
      <c r="AD17" s="156">
        <v>320</v>
      </c>
      <c r="AE17" s="156">
        <v>200</v>
      </c>
      <c r="AF17" s="1161">
        <v>150</v>
      </c>
      <c r="AG17" s="91"/>
      <c r="AH17" s="89"/>
      <c r="AI17" s="1177">
        <v>15</v>
      </c>
      <c r="AJ17" s="156" t="s">
        <v>561</v>
      </c>
      <c r="AK17" s="57">
        <f>12*123+6*20</f>
        <v>1596</v>
      </c>
      <c r="AL17" s="57">
        <f>8*123+6*70+6*20</f>
        <v>1524</v>
      </c>
      <c r="AM17" s="57">
        <f>8*123+4*70+6*20</f>
        <v>1384</v>
      </c>
      <c r="AN17" s="57">
        <f>123*2+6*70+4*20</f>
        <v>746</v>
      </c>
      <c r="AO17" s="57">
        <f>8*70+4*20</f>
        <v>640</v>
      </c>
      <c r="AP17" s="172">
        <f>4*70+8*20</f>
        <v>440</v>
      </c>
      <c r="AQ17" s="868">
        <f>14*20</f>
        <v>280</v>
      </c>
      <c r="AR17" s="64"/>
      <c r="AS17" s="64"/>
      <c r="AT17" s="64"/>
      <c r="AU17" s="64"/>
      <c r="AV17" s="64"/>
      <c r="AW17" s="64"/>
      <c r="AX17" s="64"/>
      <c r="AY17" s="64"/>
      <c r="AZ17" s="64"/>
      <c r="BA17" s="64"/>
      <c r="BB17" s="64"/>
      <c r="BC17" s="64"/>
      <c r="BD17" s="78"/>
    </row>
    <row r="18" spans="1:95" ht="18" customHeight="1" thickBot="1" x14ac:dyDescent="0.25">
      <c r="B18" s="92"/>
      <c r="C18" s="64"/>
      <c r="D18" s="93"/>
      <c r="E18" s="64"/>
      <c r="F18" s="64"/>
      <c r="G18" s="64"/>
      <c r="H18" s="64"/>
      <c r="I18" s="64"/>
      <c r="J18" s="64"/>
      <c r="K18" s="64"/>
      <c r="L18" s="64"/>
      <c r="M18" s="64"/>
      <c r="N18" s="64"/>
      <c r="O18" s="64"/>
      <c r="P18" s="58"/>
      <c r="Q18" s="57"/>
      <c r="R18" s="94"/>
      <c r="S18" s="57"/>
      <c r="T18" s="996"/>
      <c r="U18" s="1462">
        <v>450</v>
      </c>
      <c r="V18" s="1459">
        <f t="shared" si="2"/>
        <v>1080</v>
      </c>
      <c r="W18" s="57"/>
      <c r="X18" s="262">
        <v>20</v>
      </c>
      <c r="Y18" s="899" t="s">
        <v>561</v>
      </c>
      <c r="Z18" s="899" t="s">
        <v>561</v>
      </c>
      <c r="AA18" s="899">
        <v>400</v>
      </c>
      <c r="AB18" s="1134">
        <v>400</v>
      </c>
      <c r="AC18" s="899">
        <v>320</v>
      </c>
      <c r="AD18" s="899">
        <v>320</v>
      </c>
      <c r="AE18" s="899">
        <v>320</v>
      </c>
      <c r="AF18" s="1162">
        <v>200</v>
      </c>
      <c r="AG18" s="91"/>
      <c r="AH18" s="89"/>
      <c r="AI18" s="272">
        <v>20</v>
      </c>
      <c r="AJ18" s="899" t="s">
        <v>561</v>
      </c>
      <c r="AK18" s="899" t="s">
        <v>561</v>
      </c>
      <c r="AL18" s="900">
        <f>12*123+6*20</f>
        <v>1596</v>
      </c>
      <c r="AM18" s="287">
        <f>8*123+6*20</f>
        <v>1104</v>
      </c>
      <c r="AN18" s="287">
        <f>4*123+4*70+4*20</f>
        <v>852</v>
      </c>
      <c r="AO18" s="287">
        <f>8*70+2*20</f>
        <v>600</v>
      </c>
      <c r="AP18" s="287">
        <f>8*70+4*20</f>
        <v>640</v>
      </c>
      <c r="AQ18" s="223">
        <f>16*20</f>
        <v>320</v>
      </c>
      <c r="AR18" s="64"/>
      <c r="AS18" s="64"/>
      <c r="AT18" s="64"/>
      <c r="AU18" s="64"/>
      <c r="AV18" s="64"/>
      <c r="AW18" s="64"/>
      <c r="AX18" s="64"/>
      <c r="AY18" s="64"/>
      <c r="AZ18" s="64"/>
      <c r="BA18" s="64"/>
      <c r="BB18" s="64"/>
      <c r="BC18" s="64"/>
      <c r="BD18" s="78"/>
    </row>
    <row r="19" spans="1:95" ht="18" customHeight="1" thickBot="1" x14ac:dyDescent="0.25">
      <c r="B19" s="92" t="s">
        <v>1063</v>
      </c>
      <c r="C19" s="64"/>
      <c r="D19" s="736">
        <f>'01_ALGEMEEN'!D89</f>
        <v>3.7</v>
      </c>
      <c r="E19" s="64" t="s">
        <v>72</v>
      </c>
      <c r="F19" s="95"/>
      <c r="G19" s="64"/>
      <c r="H19" s="64"/>
      <c r="I19" s="64"/>
      <c r="J19" s="64"/>
      <c r="K19" s="64"/>
      <c r="L19" s="64"/>
      <c r="M19" s="64"/>
      <c r="N19" s="64"/>
      <c r="O19" s="64"/>
      <c r="P19" s="96"/>
      <c r="Q19" s="980" t="s">
        <v>350</v>
      </c>
      <c r="R19" s="97" t="s">
        <v>351</v>
      </c>
      <c r="S19" s="57"/>
      <c r="T19" s="996"/>
      <c r="U19" s="1462" t="s">
        <v>561</v>
      </c>
      <c r="V19" s="1482" t="s">
        <v>561</v>
      </c>
      <c r="W19" s="57"/>
      <c r="X19" s="331"/>
      <c r="Y19" s="89"/>
      <c r="Z19" s="112"/>
      <c r="AA19" s="89"/>
      <c r="AB19" s="89"/>
      <c r="AC19" s="89"/>
      <c r="AD19" s="113"/>
      <c r="AE19" s="114"/>
      <c r="AF19" s="89"/>
      <c r="AG19" s="91"/>
      <c r="AH19" s="89"/>
      <c r="AI19" s="91"/>
      <c r="AJ19" s="89"/>
      <c r="AK19" s="91"/>
      <c r="AL19" s="89"/>
      <c r="AM19" s="115"/>
      <c r="AN19" s="89"/>
      <c r="AO19" s="116"/>
      <c r="AP19" s="64"/>
      <c r="AQ19" s="64"/>
      <c r="AR19" s="64"/>
      <c r="AS19" s="64"/>
      <c r="AT19" s="64"/>
      <c r="AU19" s="64"/>
      <c r="AV19" s="64"/>
      <c r="AW19" s="64"/>
      <c r="AX19" s="64"/>
      <c r="AY19" s="64"/>
      <c r="AZ19" s="64"/>
      <c r="BA19" s="64"/>
      <c r="BB19" s="64"/>
      <c r="BC19" s="64"/>
      <c r="BD19" s="78"/>
    </row>
    <row r="20" spans="1:95" ht="18" customHeight="1" thickBot="1" x14ac:dyDescent="0.25">
      <c r="B20" s="98" t="s">
        <v>4</v>
      </c>
      <c r="C20" s="99" t="str">
        <f>'01_ALGEMEEN'!D90</f>
        <v>prefab schil met I-profielen</v>
      </c>
      <c r="D20" s="100">
        <f>VLOOKUP($C$20,$C$22:$P$39,2,0)</f>
        <v>390</v>
      </c>
      <c r="E20" s="101">
        <f>VLOOKUP($C$20,$C$22:$P$39,3,0)</f>
        <v>116.41</v>
      </c>
      <c r="F20" s="101">
        <f>VLOOKUP($C$20,$C$22:$P$39,4,0)</f>
        <v>168.00000000000003</v>
      </c>
      <c r="G20" s="101">
        <f>VLOOKUP($C$20,$C$22:$P$39,5,0)</f>
        <v>1.97</v>
      </c>
      <c r="H20" s="102">
        <f>VLOOKUP($C$20,$C$22:$P$39,6,0)</f>
        <v>0</v>
      </c>
      <c r="I20" s="101">
        <f>VLOOKUP($C$20,$C$22:$P$39,7,0)</f>
        <v>30.083333333333332</v>
      </c>
      <c r="J20" s="101">
        <f>VLOOKUP($C$20,$C$22:$P$39,8,0)</f>
        <v>0</v>
      </c>
      <c r="K20" s="101">
        <f>VLOOKUP($C$20,$C$22:$P$39,9,0)</f>
        <v>0</v>
      </c>
      <c r="L20" s="103">
        <f>VLOOKUP($C$20,$C$22:$P$39,10,0)</f>
        <v>0</v>
      </c>
      <c r="M20" s="101">
        <f>VLOOKUP($C$20,$C$22:$P$39,11,0)</f>
        <v>0</v>
      </c>
      <c r="N20" s="101">
        <f>VLOOKUP($C$20,$C$22:$P$39,12,0)</f>
        <v>0</v>
      </c>
      <c r="O20" s="101">
        <f>VLOOKUP($C$20,$C$22:$P$39,13,0)</f>
        <v>0</v>
      </c>
      <c r="P20" s="104">
        <f>VLOOKUP($C$20,$C$22:$P$39,14,0)</f>
        <v>5.91</v>
      </c>
      <c r="Q20" s="1069">
        <f>VLOOKUP($C$20,$C$22:$P$39,14,0)</f>
        <v>5.91</v>
      </c>
      <c r="R20" s="105">
        <f>VLOOKUP($C$20,C22:R39,16,0)</f>
        <v>322.37333333333333</v>
      </c>
      <c r="S20" s="57"/>
      <c r="T20" s="1454" t="s">
        <v>437</v>
      </c>
      <c r="U20" s="1483">
        <f t="shared" ref="U20:U31" si="3">AY23</f>
        <v>300</v>
      </c>
      <c r="V20" s="1238">
        <f t="shared" ref="V20:V31" si="4">AX23</f>
        <v>307.95666666666671</v>
      </c>
      <c r="W20" s="57"/>
      <c r="X20" s="254" t="s">
        <v>435</v>
      </c>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6"/>
    </row>
    <row r="21" spans="1:95" ht="18" customHeight="1" thickBot="1" x14ac:dyDescent="0.25">
      <c r="B21" s="106" t="s">
        <v>536</v>
      </c>
      <c r="C21" s="107"/>
      <c r="D21" s="107"/>
      <c r="E21" s="108" t="s">
        <v>192</v>
      </c>
      <c r="F21" s="108" t="s">
        <v>193</v>
      </c>
      <c r="G21" s="108" t="s">
        <v>101</v>
      </c>
      <c r="H21" s="109" t="s">
        <v>102</v>
      </c>
      <c r="I21" s="108" t="s">
        <v>216</v>
      </c>
      <c r="J21" s="108" t="s">
        <v>80</v>
      </c>
      <c r="K21" s="109" t="s">
        <v>100</v>
      </c>
      <c r="L21" s="108" t="s">
        <v>368</v>
      </c>
      <c r="M21" s="110" t="s">
        <v>111</v>
      </c>
      <c r="N21" s="110" t="s">
        <v>194</v>
      </c>
      <c r="O21" s="108" t="s">
        <v>173</v>
      </c>
      <c r="P21" s="111" t="s">
        <v>292</v>
      </c>
      <c r="Q21" s="1208" t="s">
        <v>293</v>
      </c>
      <c r="R21" s="1209" t="s">
        <v>406</v>
      </c>
      <c r="S21" s="57"/>
      <c r="T21" s="996"/>
      <c r="U21" s="1463">
        <f t="shared" si="3"/>
        <v>320</v>
      </c>
      <c r="V21" s="1169">
        <f t="shared" si="4"/>
        <v>310.95666666666671</v>
      </c>
      <c r="W21" s="57"/>
      <c r="X21" s="331"/>
      <c r="Y21" s="89"/>
      <c r="Z21" s="89"/>
      <c r="AA21" s="112"/>
      <c r="AB21" s="89"/>
      <c r="AC21" s="89"/>
      <c r="AD21" s="113"/>
      <c r="AE21" s="114"/>
      <c r="AF21" s="89"/>
      <c r="AG21" s="91"/>
      <c r="AH21" s="89"/>
      <c r="AI21" s="91"/>
      <c r="AJ21" s="89"/>
      <c r="AK21" s="64"/>
      <c r="AL21" s="64"/>
      <c r="AM21" s="64"/>
      <c r="AN21" s="64"/>
      <c r="AO21" s="64"/>
      <c r="AP21" s="64"/>
      <c r="AQ21" s="64"/>
      <c r="AR21" s="57"/>
      <c r="AS21" s="57"/>
      <c r="AT21" s="57"/>
      <c r="AU21" s="57"/>
      <c r="AV21" s="57"/>
      <c r="AW21" s="57"/>
      <c r="AX21" s="57"/>
      <c r="AY21" s="57"/>
      <c r="AZ21" s="57"/>
      <c r="BA21" s="57"/>
      <c r="BB21" s="64"/>
      <c r="BC21" s="64"/>
      <c r="BD21" s="78"/>
    </row>
    <row r="22" spans="1:95" ht="18" customHeight="1" x14ac:dyDescent="0.2">
      <c r="B22" s="880">
        <v>1</v>
      </c>
      <c r="C22" s="57" t="s">
        <v>42</v>
      </c>
      <c r="D22" s="859">
        <f>IF(OR($C$15=60,C15=30),INDEX($Y$7:$AF$10,MATCH($C$13,$X$7:$X$10,0),MATCH($D$19,$Y$6:$AF$6,-1)),IF($C$15=90,INDEX($Y$15:$AF$18,MATCH($C$13,$X$15:$X$18,0),MATCH($D$19,$Y$14:$AF$14,-1)),IF($C$15=120,INDEX($AT$7:$BA$10,MATCH($C$13,$AS$7:$AS$10,0),MATCH($D$19,$AT$6:$BA$6,-1)))))</f>
        <v>200</v>
      </c>
      <c r="E22" s="859"/>
      <c r="F22" s="859">
        <f>VLOOKUP(D22,$AS$13:$AT$16,2,FALSE)</f>
        <v>303</v>
      </c>
      <c r="G22" s="37"/>
      <c r="H22" s="37">
        <f>INDEX($AJ$7:$AQ$10,MATCH($C$13,$AI$7:$AI$10,0),MATCH($D$19,$AJ$6:$AQ$6,-1))</f>
        <v>1.82</v>
      </c>
      <c r="I22" s="37"/>
      <c r="J22" s="37">
        <f>VLOOKUP(F22,$AT$12:$AV$16,3)</f>
        <v>144</v>
      </c>
      <c r="K22" s="37">
        <f>VLOOKUP(F22,$AT$12:$AW$16,4)</f>
        <v>3</v>
      </c>
      <c r="L22" s="37"/>
      <c r="M22" s="37"/>
      <c r="N22" s="37"/>
      <c r="O22" s="37"/>
      <c r="P22" s="881"/>
      <c r="Q22" s="1071">
        <v>0</v>
      </c>
      <c r="R22" s="117">
        <f>VLOOKUP(D22,$U$9:$V$14,2)</f>
        <v>447</v>
      </c>
      <c r="S22" s="57"/>
      <c r="T22" s="996"/>
      <c r="U22" s="1463">
        <f t="shared" si="3"/>
        <v>340</v>
      </c>
      <c r="V22" s="1169">
        <f t="shared" si="4"/>
        <v>314.12333333333333</v>
      </c>
      <c r="W22" s="57"/>
      <c r="X22" s="278" t="s">
        <v>105</v>
      </c>
      <c r="Y22" s="265">
        <v>12.6</v>
      </c>
      <c r="Z22" s="265">
        <v>10.8</v>
      </c>
      <c r="AA22" s="265">
        <v>7.2</v>
      </c>
      <c r="AB22" s="265">
        <v>5.4</v>
      </c>
      <c r="AC22" s="266">
        <v>3.6</v>
      </c>
      <c r="AD22" s="64"/>
      <c r="AE22" s="64"/>
      <c r="AF22" s="64"/>
      <c r="AG22" s="64"/>
      <c r="AH22" s="64"/>
      <c r="AI22" s="278" t="s">
        <v>156</v>
      </c>
      <c r="AJ22" s="981">
        <v>12.6</v>
      </c>
      <c r="AK22" s="981">
        <v>10.8</v>
      </c>
      <c r="AL22" s="981">
        <v>7.2</v>
      </c>
      <c r="AM22" s="981">
        <v>5.4</v>
      </c>
      <c r="AN22" s="1150">
        <v>3.6</v>
      </c>
      <c r="AO22" s="64"/>
      <c r="AP22" s="64"/>
      <c r="AQ22" s="64"/>
      <c r="AR22" s="57"/>
      <c r="AS22" s="119" t="s">
        <v>205</v>
      </c>
      <c r="AT22" s="119" t="s">
        <v>369</v>
      </c>
      <c r="AU22" s="119" t="s">
        <v>402</v>
      </c>
      <c r="AV22" s="119" t="s">
        <v>403</v>
      </c>
      <c r="AW22" s="52" t="s">
        <v>404</v>
      </c>
      <c r="AX22" s="52" t="s">
        <v>405</v>
      </c>
      <c r="AY22" s="852" t="s">
        <v>479</v>
      </c>
      <c r="AZ22" s="57"/>
      <c r="BA22" s="57"/>
      <c r="BB22" s="64"/>
      <c r="BC22" s="64"/>
      <c r="BD22" s="78"/>
    </row>
    <row r="23" spans="1:95" ht="18" customHeight="1" x14ac:dyDescent="0.2">
      <c r="B23" s="128">
        <v>2</v>
      </c>
      <c r="C23" s="57" t="s">
        <v>618</v>
      </c>
      <c r="D23" s="859">
        <f>INDEX($Z$44:$AD$55,MATCH($C$13,$Y$44:$Y$55,0),MATCH($D$19,$Z$43:$AD$43,-1))</f>
        <v>200</v>
      </c>
      <c r="E23" s="859">
        <f>INDEX($AK$51:$AO$54,MATCH($C$13,$AJ$51:$AJ$54,0),MATCH($D$19,$AK$50:$AO$50,-1))</f>
        <v>500</v>
      </c>
      <c r="F23" s="859"/>
      <c r="G23" s="37">
        <f>INDEX($AK$44:$AO$47,MATCH($C$13,$AJ$44:$AJ$47,0),MATCH($D$19,$AK$43:$AO$43,-1))</f>
        <v>15</v>
      </c>
      <c r="H23" s="37"/>
      <c r="I23" s="37"/>
      <c r="J23" s="37"/>
      <c r="K23" s="37"/>
      <c r="L23" s="37"/>
      <c r="M23" s="37"/>
      <c r="N23" s="37"/>
      <c r="O23" s="37"/>
      <c r="P23" s="881"/>
      <c r="Q23" s="1071"/>
      <c r="R23" s="117">
        <f>VLOOKUP(D23,$U$15:$V$19,2)</f>
        <v>480</v>
      </c>
      <c r="S23" s="57"/>
      <c r="T23" s="996"/>
      <c r="U23" s="1463">
        <f t="shared" si="3"/>
        <v>360</v>
      </c>
      <c r="V23" s="1169">
        <f t="shared" si="4"/>
        <v>317.87333333333333</v>
      </c>
      <c r="W23" s="57"/>
      <c r="X23" s="1171">
        <v>5</v>
      </c>
      <c r="Y23" s="1133" t="s">
        <v>776</v>
      </c>
      <c r="Z23" s="1133" t="s">
        <v>475</v>
      </c>
      <c r="AA23" s="1133" t="s">
        <v>775</v>
      </c>
      <c r="AB23" s="1133" t="s">
        <v>474</v>
      </c>
      <c r="AC23" s="1739" t="s">
        <v>113</v>
      </c>
      <c r="AD23" s="64"/>
      <c r="AE23" s="122"/>
      <c r="AF23" s="122"/>
      <c r="AG23" s="122"/>
      <c r="AH23" s="122"/>
      <c r="AI23" s="1148">
        <v>5</v>
      </c>
      <c r="AJ23" s="1152">
        <f>VLOOKUP(Y23,$AS$23:$AY$34,7)</f>
        <v>570</v>
      </c>
      <c r="AK23" s="1147">
        <f t="shared" ref="AK23:AN23" si="5">VLOOKUP(Z23,$AS$23:$AY$34,7)</f>
        <v>570</v>
      </c>
      <c r="AL23" s="1147">
        <f t="shared" si="5"/>
        <v>390</v>
      </c>
      <c r="AM23" s="1147">
        <f t="shared" si="5"/>
        <v>390</v>
      </c>
      <c r="AN23" s="1153">
        <f t="shared" si="5"/>
        <v>320</v>
      </c>
      <c r="AO23" s="122"/>
      <c r="AP23" s="122"/>
      <c r="AQ23" s="122"/>
      <c r="AR23" s="137"/>
      <c r="AS23" s="897" t="s">
        <v>112</v>
      </c>
      <c r="AT23" s="155">
        <v>1200</v>
      </c>
      <c r="AU23" s="155">
        <v>18.8</v>
      </c>
      <c r="AV23" s="129">
        <f>AU23*1000/AT23</f>
        <v>15.666666666666666</v>
      </c>
      <c r="AW23" s="57">
        <f t="shared" ref="AW23:AW33" si="6">$AC$34</f>
        <v>292.29000000000002</v>
      </c>
      <c r="AX23" s="898">
        <f>AV23+AW23</f>
        <v>307.95666666666671</v>
      </c>
      <c r="AY23" s="57">
        <v>300</v>
      </c>
      <c r="AZ23" s="57"/>
      <c r="BA23" s="57"/>
      <c r="BB23" s="64"/>
      <c r="BC23" s="64"/>
      <c r="BD23" s="78"/>
    </row>
    <row r="24" spans="1:95" ht="18" customHeight="1" x14ac:dyDescent="0.2">
      <c r="B24" s="128">
        <v>3</v>
      </c>
      <c r="C24" s="57" t="s">
        <v>437</v>
      </c>
      <c r="D24" s="859">
        <f>INDEX($AJ$23:$AN$26,MATCH($C$13,$AI$23:$AI$26,0),MATCH($D$19,$AJ$22:$AN$22,-1))</f>
        <v>390</v>
      </c>
      <c r="E24" s="37">
        <f>$Y$38</f>
        <v>116.41</v>
      </c>
      <c r="F24" s="859">
        <f>$Y$34</f>
        <v>168.00000000000003</v>
      </c>
      <c r="G24" s="37">
        <f>$Y$35</f>
        <v>1.97</v>
      </c>
      <c r="H24" s="37"/>
      <c r="I24" s="37">
        <f>INDEX($Y$29:$AC$32,MATCH($C$13,$X$29:$X$32,0),MATCH($D$19,$Y$28:$AC$28,-1))</f>
        <v>30.083333333333332</v>
      </c>
      <c r="J24" s="37"/>
      <c r="K24" s="37"/>
      <c r="L24" s="37"/>
      <c r="M24" s="37"/>
      <c r="N24" s="37"/>
      <c r="O24" s="37"/>
      <c r="P24" s="881">
        <f>$Y$37</f>
        <v>5.91</v>
      </c>
      <c r="Q24" s="1071"/>
      <c r="R24" s="117">
        <f>VLOOKUP(D24,$U$20:$V$31,2)</f>
        <v>322.37333333333333</v>
      </c>
      <c r="S24" s="57"/>
      <c r="T24" s="996"/>
      <c r="U24" s="1463">
        <f t="shared" si="3"/>
        <v>390</v>
      </c>
      <c r="V24" s="1169">
        <f t="shared" si="4"/>
        <v>322.37333333333333</v>
      </c>
      <c r="W24" s="57"/>
      <c r="X24" s="1171">
        <v>10</v>
      </c>
      <c r="Y24" s="1133" t="s">
        <v>776</v>
      </c>
      <c r="Z24" s="1133" t="s">
        <v>475</v>
      </c>
      <c r="AA24" s="1133" t="s">
        <v>775</v>
      </c>
      <c r="AB24" s="1133" t="s">
        <v>474</v>
      </c>
      <c r="AC24" s="1739" t="s">
        <v>113</v>
      </c>
      <c r="AD24" s="64"/>
      <c r="AE24" s="64"/>
      <c r="AF24" s="64"/>
      <c r="AG24" s="64"/>
      <c r="AH24" s="64"/>
      <c r="AI24" s="1148">
        <v>10</v>
      </c>
      <c r="AJ24" s="982">
        <f t="shared" ref="AJ24:AJ26" si="7">VLOOKUP(Y24,$AS$23:$AY$34,7)</f>
        <v>570</v>
      </c>
      <c r="AK24" s="1151">
        <f t="shared" ref="AK24:AK26" si="8">VLOOKUP(Z24,$AS$23:$AY$34,7)</f>
        <v>570</v>
      </c>
      <c r="AL24" s="1151">
        <f t="shared" ref="AL24:AL26" si="9">VLOOKUP(AA24,$AS$23:$AY$34,7)</f>
        <v>390</v>
      </c>
      <c r="AM24" s="1151">
        <f t="shared" ref="AM24:AM26" si="10">VLOOKUP(AB24,$AS$23:$AY$34,7)</f>
        <v>390</v>
      </c>
      <c r="AN24" s="1154">
        <f t="shared" ref="AN24:AN26" si="11">VLOOKUP(AC24,$AS$23:$AY$34,7)</f>
        <v>320</v>
      </c>
      <c r="AO24" s="64"/>
      <c r="AP24" s="64"/>
      <c r="AQ24" s="64"/>
      <c r="AR24" s="57"/>
      <c r="AS24" s="897" t="s">
        <v>113</v>
      </c>
      <c r="AT24" s="155">
        <v>1200</v>
      </c>
      <c r="AU24" s="155">
        <v>22.4</v>
      </c>
      <c r="AV24" s="129">
        <f t="shared" ref="AV24:AV26" si="12">AU24*1000/AT24</f>
        <v>18.666666666666668</v>
      </c>
      <c r="AW24" s="57">
        <f t="shared" si="6"/>
        <v>292.29000000000002</v>
      </c>
      <c r="AX24" s="898">
        <f t="shared" ref="AX24:AX26" si="13">AV24+AW24</f>
        <v>310.95666666666671</v>
      </c>
      <c r="AY24" s="57">
        <v>320</v>
      </c>
      <c r="AZ24" s="57"/>
      <c r="BA24" s="57"/>
      <c r="BB24" s="64"/>
      <c r="BC24" s="64"/>
      <c r="BD24" s="78"/>
    </row>
    <row r="25" spans="1:95" ht="18" customHeight="1" x14ac:dyDescent="0.2">
      <c r="B25" s="128">
        <v>4</v>
      </c>
      <c r="C25" s="57" t="s">
        <v>121</v>
      </c>
      <c r="D25" s="859">
        <f>INDEX($Z$66:$AD$68,MATCH($C$13,$Y$66:$Y$68,0),MATCH($D$19,$Z$65:$AD$65,-1))</f>
        <v>268</v>
      </c>
      <c r="E25" s="859"/>
      <c r="F25" s="859"/>
      <c r="G25" s="37"/>
      <c r="H25" s="37"/>
      <c r="I25" s="37"/>
      <c r="J25" s="37"/>
      <c r="K25" s="37"/>
      <c r="L25" s="37">
        <f>VLOOKUP(D25,$AT$65:$AX$71,5)</f>
        <v>32.552399999999999</v>
      </c>
      <c r="M25" s="37">
        <f>$Z$70</f>
        <v>8.1</v>
      </c>
      <c r="N25" s="37"/>
      <c r="O25" s="37"/>
      <c r="P25" s="881"/>
      <c r="Q25" s="1071"/>
      <c r="R25" s="117">
        <f>VLOOKUP(D25,$U$32:$V$38,2)</f>
        <v>32.552399999999999</v>
      </c>
      <c r="S25" s="118"/>
      <c r="T25" s="996"/>
      <c r="U25" s="1463">
        <f t="shared" si="3"/>
        <v>450</v>
      </c>
      <c r="V25" s="1169">
        <f t="shared" si="4"/>
        <v>333.20666666666671</v>
      </c>
      <c r="W25" s="118"/>
      <c r="X25" s="1171">
        <v>15</v>
      </c>
      <c r="Y25" s="1133" t="s">
        <v>478</v>
      </c>
      <c r="Z25" s="1133" t="s">
        <v>776</v>
      </c>
      <c r="AA25" s="1133" t="s">
        <v>477</v>
      </c>
      <c r="AB25" s="1133" t="s">
        <v>775</v>
      </c>
      <c r="AC25" s="1739" t="s">
        <v>471</v>
      </c>
      <c r="AD25" s="64"/>
      <c r="AE25" s="64"/>
      <c r="AF25" s="64"/>
      <c r="AG25" s="64"/>
      <c r="AH25" s="64"/>
      <c r="AI25" s="1148">
        <v>15</v>
      </c>
      <c r="AJ25" s="982">
        <f t="shared" si="7"/>
        <v>720</v>
      </c>
      <c r="AK25" s="1151">
        <f t="shared" si="8"/>
        <v>570</v>
      </c>
      <c r="AL25" s="1151">
        <f t="shared" si="9"/>
        <v>480</v>
      </c>
      <c r="AM25" s="1151">
        <f t="shared" si="10"/>
        <v>390</v>
      </c>
      <c r="AN25" s="1154">
        <f t="shared" si="11"/>
        <v>360</v>
      </c>
      <c r="AO25" s="64"/>
      <c r="AP25" s="64"/>
      <c r="AQ25" s="64"/>
      <c r="AR25" s="57"/>
      <c r="AS25" s="897" t="s">
        <v>114</v>
      </c>
      <c r="AT25" s="897">
        <v>1200</v>
      </c>
      <c r="AU25" s="155">
        <v>26.2</v>
      </c>
      <c r="AV25" s="129">
        <f t="shared" si="12"/>
        <v>21.833333333333332</v>
      </c>
      <c r="AW25" s="57">
        <f t="shared" si="6"/>
        <v>292.29000000000002</v>
      </c>
      <c r="AX25" s="898">
        <f t="shared" si="13"/>
        <v>314.12333333333333</v>
      </c>
      <c r="AY25" s="57">
        <v>340</v>
      </c>
      <c r="AZ25" s="57"/>
      <c r="BA25" s="57"/>
      <c r="BB25" s="64"/>
      <c r="BC25" s="64"/>
      <c r="BD25" s="78"/>
    </row>
    <row r="26" spans="1:95" s="120" customFormat="1" ht="18" customHeight="1" x14ac:dyDescent="0.2">
      <c r="B26" s="128">
        <v>5</v>
      </c>
      <c r="C26" s="57" t="s">
        <v>45</v>
      </c>
      <c r="D26" s="859">
        <f>INDEX($Y$75:$AD$78,MATCH($C$13,$X$75:$X$78,0),MATCH($D$19,$Y$74:$AD$74,-1))</f>
        <v>175</v>
      </c>
      <c r="E26" s="859">
        <f>INDEX($Y$81:$AD$84,MATCH($C$13,$X$81:$X$84,0),MATCH($D$19,$Y$80:$AD$80,-1))</f>
        <v>293</v>
      </c>
      <c r="F26" s="859"/>
      <c r="G26" s="37"/>
      <c r="H26" s="37"/>
      <c r="I26" s="882"/>
      <c r="J26" s="37"/>
      <c r="K26" s="37"/>
      <c r="L26" s="37"/>
      <c r="M26" s="37"/>
      <c r="N26" s="37"/>
      <c r="O26" s="37"/>
      <c r="P26" s="881">
        <f>INDEX($AJ$81:$AO$84,MATCH($C$13,$AI$81:$AI$84,0),MATCH($D$19,$AJ$80:$AO$80,-1))</f>
        <v>15.6</v>
      </c>
      <c r="Q26" s="1071"/>
      <c r="R26" s="117">
        <f>VLOOKUP(D26,$U$39:$V$43,2)</f>
        <v>353</v>
      </c>
      <c r="S26" s="121"/>
      <c r="T26" s="996"/>
      <c r="U26" s="1463">
        <f t="shared" si="3"/>
        <v>480</v>
      </c>
      <c r="V26" s="1169">
        <f t="shared" si="4"/>
        <v>339.87333333333333</v>
      </c>
      <c r="W26" s="121"/>
      <c r="X26" s="280">
        <v>20</v>
      </c>
      <c r="Y26" s="1134" t="s">
        <v>561</v>
      </c>
      <c r="Z26" s="1134" t="s">
        <v>561</v>
      </c>
      <c r="AA26" s="1134" t="s">
        <v>561</v>
      </c>
      <c r="AB26" s="1134" t="s">
        <v>561</v>
      </c>
      <c r="AC26" s="1135" t="s">
        <v>561</v>
      </c>
      <c r="AD26" s="64"/>
      <c r="AE26" s="64"/>
      <c r="AF26" s="64"/>
      <c r="AG26" s="64"/>
      <c r="AH26" s="64"/>
      <c r="AI26" s="1149">
        <v>20</v>
      </c>
      <c r="AJ26" s="985" t="str">
        <f t="shared" si="7"/>
        <v>kan niet</v>
      </c>
      <c r="AK26" s="1155" t="str">
        <f t="shared" si="8"/>
        <v>kan niet</v>
      </c>
      <c r="AL26" s="1155" t="str">
        <f t="shared" si="9"/>
        <v>kan niet</v>
      </c>
      <c r="AM26" s="1155" t="str">
        <f t="shared" si="10"/>
        <v>kan niet</v>
      </c>
      <c r="AN26" s="1156" t="str">
        <f t="shared" si="11"/>
        <v>kan niet</v>
      </c>
      <c r="AO26" s="64"/>
      <c r="AP26" s="64"/>
      <c r="AQ26" s="64"/>
      <c r="AR26" s="57"/>
      <c r="AS26" s="897" t="s">
        <v>471</v>
      </c>
      <c r="AT26" s="155">
        <v>1200</v>
      </c>
      <c r="AU26" s="155">
        <v>30.7</v>
      </c>
      <c r="AV26" s="129">
        <f t="shared" si="12"/>
        <v>25.583333333333332</v>
      </c>
      <c r="AW26" s="57">
        <f t="shared" si="6"/>
        <v>292.29000000000002</v>
      </c>
      <c r="AX26" s="898">
        <f t="shared" si="13"/>
        <v>317.87333333333333</v>
      </c>
      <c r="AY26" s="57">
        <v>360</v>
      </c>
      <c r="AZ26" s="57"/>
      <c r="BA26" s="57"/>
      <c r="BB26" s="64"/>
      <c r="BC26" s="64"/>
      <c r="BD26" s="78"/>
      <c r="BE26" s="51"/>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row>
    <row r="27" spans="1:95" ht="23.25" customHeight="1" x14ac:dyDescent="0.2">
      <c r="A27" s="123"/>
      <c r="B27" s="128">
        <v>6</v>
      </c>
      <c r="C27" s="57" t="s">
        <v>1067</v>
      </c>
      <c r="D27" s="859">
        <f>INDEX($Y$89:$AD$92,MATCH($C$13,$X$89:$X$92,0),MATCH($D$19,$Y$88:$AD$88,-1))</f>
        <v>230</v>
      </c>
      <c r="E27" s="859">
        <f>INDEX($Y$101:$AD$104,MATCH($C$13,$X$101:$X$104,0),MATCH($D$19,$Y$100:$AD$100,-1))</f>
        <v>340</v>
      </c>
      <c r="F27" s="859">
        <f>INDEX($Y$95:$AD$98,MATCH($C$13,$X$95:$X$98,0),MATCH($D$19,$Y$94:$AD$94,-1))</f>
        <v>168</v>
      </c>
      <c r="G27" s="37">
        <f>INDEX($AJ$89:$AO$92,MATCH($C$13,$AI$89:$AI$92,0),MATCH($D$19,$AJ$88:$AO$88,-1))+INDEX($AJ$95:$AO$98,MATCH($C$13,$AI$95:$AI$98,0),MATCH($D$19,$AJ$94:$AO$94,-1))</f>
        <v>21.4</v>
      </c>
      <c r="H27" s="37"/>
      <c r="I27" s="37"/>
      <c r="J27" s="37"/>
      <c r="K27" s="883"/>
      <c r="L27" s="37"/>
      <c r="M27" s="37"/>
      <c r="N27" s="37">
        <f>INDEX($AJ$101:$AO$104,MATCH($C$13,$AI$101:$AI$104,0),MATCH($D$19,$AJ$100:$AO$100,-1))</f>
        <v>3.25</v>
      </c>
      <c r="O27" s="37"/>
      <c r="P27" s="881"/>
      <c r="Q27" s="1071"/>
      <c r="R27" s="117">
        <f>VLOOKUP(D27,$U$44:$V$49,2)</f>
        <v>432</v>
      </c>
      <c r="S27" s="118"/>
      <c r="T27" s="996"/>
      <c r="U27" s="1463">
        <f t="shared" si="3"/>
        <v>520</v>
      </c>
      <c r="V27" s="1169">
        <f t="shared" si="4"/>
        <v>347.54</v>
      </c>
      <c r="W27" s="118"/>
      <c r="X27" s="138"/>
      <c r="Y27" s="130"/>
      <c r="Z27" s="130"/>
      <c r="AA27" s="130"/>
      <c r="AB27" s="130"/>
      <c r="AC27" s="130"/>
      <c r="AD27" s="64"/>
      <c r="AE27" s="64"/>
      <c r="AF27" s="64"/>
      <c r="AG27" s="64"/>
      <c r="AH27" s="64"/>
      <c r="AI27" s="64"/>
      <c r="AJ27" s="64"/>
      <c r="AK27" s="64"/>
      <c r="AL27" s="64"/>
      <c r="AM27" s="64"/>
      <c r="AN27" s="64"/>
      <c r="AO27" s="64"/>
      <c r="AP27" s="64"/>
      <c r="AQ27" s="64"/>
      <c r="AR27" s="57"/>
      <c r="AS27" s="897" t="s">
        <v>474</v>
      </c>
      <c r="AT27" s="155">
        <v>1200</v>
      </c>
      <c r="AU27" s="155">
        <v>36.1</v>
      </c>
      <c r="AV27" s="129">
        <f t="shared" ref="AV27:AV33" si="14">AU27*1000/AT27</f>
        <v>30.083333333333332</v>
      </c>
      <c r="AW27" s="57">
        <f t="shared" si="6"/>
        <v>292.29000000000002</v>
      </c>
      <c r="AX27" s="898">
        <f t="shared" ref="AX27:AX33" si="15">AV27+AW27</f>
        <v>322.37333333333333</v>
      </c>
      <c r="AY27" s="57">
        <v>390</v>
      </c>
      <c r="AZ27" s="57"/>
      <c r="BA27" s="57"/>
      <c r="BB27" s="64"/>
      <c r="BC27" s="64"/>
      <c r="BD27" s="78"/>
    </row>
    <row r="28" spans="1:95" ht="18" customHeight="1" x14ac:dyDescent="0.2">
      <c r="B28" s="128">
        <v>7</v>
      </c>
      <c r="C28" s="57" t="s">
        <v>845</v>
      </c>
      <c r="D28" s="859">
        <f>INDEX($AJ$121:$AO$124,MATCH($C$13,$AI$121:$AI$124,0),MATCH($D$19,$AJ$120:$AO$120,-1))</f>
        <v>190</v>
      </c>
      <c r="E28" s="859">
        <f>INDEX($AJ$115:$AO$118,MATCH($C$13,$AI$115:$AI$118,0),MATCH($D$19,$AJ$114:$AO$114,-1))</f>
        <v>10</v>
      </c>
      <c r="F28" s="859">
        <f>INDEX($Y$115:$AD$118,MATCH($C$13,$X$115:$X$118,0),MATCH($D$19,$Y$114:$AD$114,-1))</f>
        <v>375</v>
      </c>
      <c r="G28" s="37"/>
      <c r="H28" s="37">
        <f>INDEX($Y$121:$AD$124,MATCH($C$13,$X$121:$X$124,0),MATCH($D$19,$Y$120:$AD$120,-1))</f>
        <v>1.77</v>
      </c>
      <c r="I28" s="37"/>
      <c r="J28" s="37"/>
      <c r="K28" s="37"/>
      <c r="L28" s="37"/>
      <c r="M28" s="37"/>
      <c r="N28" s="37"/>
      <c r="O28" s="37"/>
      <c r="P28" s="881"/>
      <c r="Q28" s="1071"/>
      <c r="R28" s="117">
        <f>VLOOKUP(D28,$U$50:$V$53,2)</f>
        <v>456</v>
      </c>
      <c r="S28" s="125"/>
      <c r="T28" s="996"/>
      <c r="U28" s="1463">
        <f t="shared" si="3"/>
        <v>570</v>
      </c>
      <c r="V28" s="1169">
        <f t="shared" si="4"/>
        <v>358.54</v>
      </c>
      <c r="W28" s="125"/>
      <c r="X28" s="278" t="s">
        <v>105</v>
      </c>
      <c r="Y28" s="1136">
        <v>12.6</v>
      </c>
      <c r="Z28" s="1136">
        <v>10.8</v>
      </c>
      <c r="AA28" s="1136">
        <v>7.2</v>
      </c>
      <c r="AB28" s="1136">
        <v>5.4</v>
      </c>
      <c r="AC28" s="1137">
        <v>3.6</v>
      </c>
      <c r="AD28" s="64"/>
      <c r="AE28" s="124"/>
      <c r="AF28" s="124"/>
      <c r="AG28" s="124"/>
      <c r="AH28" s="124"/>
      <c r="AI28" s="278" t="s">
        <v>105</v>
      </c>
      <c r="AJ28" s="265">
        <v>3.6</v>
      </c>
      <c r="AK28" s="265">
        <v>5.4</v>
      </c>
      <c r="AL28" s="265">
        <v>7.2</v>
      </c>
      <c r="AM28" s="265">
        <v>10.8</v>
      </c>
      <c r="AN28" s="266">
        <v>12.6</v>
      </c>
      <c r="AO28" s="64"/>
      <c r="AP28" s="64"/>
      <c r="AQ28" s="64"/>
      <c r="AR28" s="57"/>
      <c r="AS28" s="897" t="s">
        <v>472</v>
      </c>
      <c r="AT28" s="155">
        <v>1200</v>
      </c>
      <c r="AU28" s="155">
        <v>49.1</v>
      </c>
      <c r="AV28" s="129">
        <f t="shared" si="14"/>
        <v>40.916666666666664</v>
      </c>
      <c r="AW28" s="57">
        <f t="shared" si="6"/>
        <v>292.29000000000002</v>
      </c>
      <c r="AX28" s="898">
        <f t="shared" si="15"/>
        <v>333.20666666666671</v>
      </c>
      <c r="AY28" s="57">
        <v>450</v>
      </c>
      <c r="AZ28" s="57"/>
      <c r="BA28" s="57"/>
      <c r="BB28" s="64"/>
      <c r="BC28" s="64"/>
      <c r="BD28" s="78"/>
    </row>
    <row r="29" spans="1:95" ht="18" customHeight="1" x14ac:dyDescent="0.2">
      <c r="A29" s="126"/>
      <c r="B29" s="128">
        <v>8</v>
      </c>
      <c r="C29" s="57" t="s">
        <v>439</v>
      </c>
      <c r="D29" s="859">
        <f>INDEX($Y$129:$AD$132,MATCH($C$13,$X$129:$X$132,0),MATCH($D$19,$Y$128:$AD$128,-1))</f>
        <v>284</v>
      </c>
      <c r="E29" s="859">
        <f>INDEX($Y$135:$AD$138,MATCH($C$13,$X$135:$X$138,0),MATCH($D$19,$Y$134:$AD$134,-1))</f>
        <v>193</v>
      </c>
      <c r="F29" s="859"/>
      <c r="G29" s="37"/>
      <c r="H29" s="37"/>
      <c r="I29" s="37"/>
      <c r="J29" s="37"/>
      <c r="K29" s="37"/>
      <c r="L29" s="37"/>
      <c r="M29" s="37"/>
      <c r="N29" s="882"/>
      <c r="O29" s="37">
        <f>IF(D29&gt;0,$Y$143,0)</f>
        <v>3.4079999999999999</v>
      </c>
      <c r="P29" s="881">
        <f>INDEX($AJ$129:$AO$132,MATCH($C$13,$AI$129:$AI$132,0),MATCH($D$19,$AJ$128:$AO$128,-1))</f>
        <v>16</v>
      </c>
      <c r="Q29" s="1071"/>
      <c r="R29" s="117">
        <f>VLOOKUP(D29,$U$54:$V$57,2)</f>
        <v>210.6</v>
      </c>
      <c r="S29" s="125"/>
      <c r="T29" s="996"/>
      <c r="U29" s="1463">
        <f t="shared" si="3"/>
        <v>670</v>
      </c>
      <c r="V29" s="1169">
        <f t="shared" si="4"/>
        <v>381.95666666666671</v>
      </c>
      <c r="W29" s="125"/>
      <c r="X29" s="1171">
        <v>5</v>
      </c>
      <c r="Y29" s="1138">
        <f>VLOOKUP(Y23,$AS$23:$AX$34,4)</f>
        <v>66.25</v>
      </c>
      <c r="Z29" s="1139">
        <f t="shared" ref="Z29:AC29" si="16">VLOOKUP(Z23,$AS$23:$AX$34,4)</f>
        <v>66.25</v>
      </c>
      <c r="AA29" s="1139">
        <f t="shared" si="16"/>
        <v>30.083333333333332</v>
      </c>
      <c r="AB29" s="1139">
        <f t="shared" si="16"/>
        <v>30.083333333333332</v>
      </c>
      <c r="AC29" s="1140">
        <f t="shared" si="16"/>
        <v>18.666666666666668</v>
      </c>
      <c r="AD29" s="64"/>
      <c r="AE29" s="124"/>
      <c r="AF29" s="124"/>
      <c r="AG29" s="124"/>
      <c r="AH29" s="124"/>
      <c r="AI29" s="1171">
        <v>5</v>
      </c>
      <c r="AJ29" s="124"/>
      <c r="AK29" s="124"/>
      <c r="AL29" s="124"/>
      <c r="AM29" s="124"/>
      <c r="AN29" s="281"/>
      <c r="AO29" s="64"/>
      <c r="AP29" s="64"/>
      <c r="AQ29" s="64"/>
      <c r="AR29" s="57"/>
      <c r="AS29" s="897" t="s">
        <v>477</v>
      </c>
      <c r="AT29" s="155">
        <v>1200</v>
      </c>
      <c r="AU29" s="155">
        <v>57.1</v>
      </c>
      <c r="AV29" s="129">
        <f t="shared" si="14"/>
        <v>47.583333333333336</v>
      </c>
      <c r="AW29" s="57">
        <f t="shared" si="6"/>
        <v>292.29000000000002</v>
      </c>
      <c r="AX29" s="898">
        <f t="shared" si="15"/>
        <v>339.87333333333333</v>
      </c>
      <c r="AY29" s="57">
        <v>480</v>
      </c>
      <c r="AZ29" s="57"/>
      <c r="BA29" s="57"/>
      <c r="BB29" s="64"/>
      <c r="BC29" s="64"/>
      <c r="BD29" s="78"/>
    </row>
    <row r="30" spans="1:95" ht="18" customHeight="1" x14ac:dyDescent="0.2">
      <c r="B30" s="128">
        <v>9</v>
      </c>
      <c r="C30" s="57" t="s">
        <v>442</v>
      </c>
      <c r="D30" s="859">
        <f>INDEX($Y$150:$AD$153,MATCH($C$13,$X$150:$X$153,0),MATCH($D$19,$Y$149:$AD$149,-1))</f>
        <v>201</v>
      </c>
      <c r="E30" s="859"/>
      <c r="F30" s="859"/>
      <c r="G30" s="37"/>
      <c r="H30" s="37"/>
      <c r="I30" s="37"/>
      <c r="J30" s="37"/>
      <c r="K30" s="883"/>
      <c r="L30" s="37">
        <f>INDEX($AJ$150:$AO$153,MATCH($C$13,$AI$150:$AI$153,0),MATCH($D$19,$AJ$149:$AO$149,-1))</f>
        <v>101</v>
      </c>
      <c r="M30" s="37"/>
      <c r="N30" s="37"/>
      <c r="O30" s="37"/>
      <c r="P30" s="881"/>
      <c r="Q30" s="1071"/>
      <c r="R30" s="117">
        <f>VLOOKUP(D30,$U$95:$V$101,2,0)</f>
        <v>101</v>
      </c>
      <c r="S30" s="125"/>
      <c r="T30" s="996"/>
      <c r="U30" s="1463">
        <f t="shared" si="3"/>
        <v>720</v>
      </c>
      <c r="V30" s="1169">
        <f t="shared" si="4"/>
        <v>396.29</v>
      </c>
      <c r="W30" s="125"/>
      <c r="X30" s="1171">
        <v>10</v>
      </c>
      <c r="Y30" s="1141">
        <f t="shared" ref="Y30:AC30" si="17">VLOOKUP(Y24,$AS$23:$AX$34,4)</f>
        <v>66.25</v>
      </c>
      <c r="Z30" s="1142">
        <f t="shared" si="17"/>
        <v>66.25</v>
      </c>
      <c r="AA30" s="1142">
        <f t="shared" si="17"/>
        <v>30.083333333333332</v>
      </c>
      <c r="AB30" s="1142">
        <f t="shared" si="17"/>
        <v>30.083333333333332</v>
      </c>
      <c r="AC30" s="1143">
        <f t="shared" si="17"/>
        <v>18.666666666666668</v>
      </c>
      <c r="AD30" s="64"/>
      <c r="AE30" s="124"/>
      <c r="AF30" s="124"/>
      <c r="AG30" s="124"/>
      <c r="AH30" s="124"/>
      <c r="AI30" s="1171">
        <v>10</v>
      </c>
      <c r="AJ30" s="124"/>
      <c r="AK30" s="124"/>
      <c r="AL30" s="124"/>
      <c r="AM30" s="124"/>
      <c r="AN30" s="281"/>
      <c r="AO30" s="64"/>
      <c r="AP30" s="64"/>
      <c r="AQ30" s="64"/>
      <c r="AR30" s="57"/>
      <c r="AS30" s="897" t="s">
        <v>473</v>
      </c>
      <c r="AT30" s="155">
        <v>1200</v>
      </c>
      <c r="AU30" s="155">
        <v>66.3</v>
      </c>
      <c r="AV30" s="129">
        <f t="shared" si="14"/>
        <v>55.25</v>
      </c>
      <c r="AW30" s="57">
        <f t="shared" si="6"/>
        <v>292.29000000000002</v>
      </c>
      <c r="AX30" s="898">
        <f t="shared" si="15"/>
        <v>347.54</v>
      </c>
      <c r="AY30" s="57">
        <v>520</v>
      </c>
      <c r="AZ30" s="57"/>
      <c r="BA30" s="57"/>
      <c r="BB30" s="64"/>
      <c r="BC30" s="64"/>
      <c r="BD30" s="78"/>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row>
    <row r="31" spans="1:95" ht="18" customHeight="1" x14ac:dyDescent="0.2">
      <c r="B31" s="128">
        <v>10</v>
      </c>
      <c r="C31" s="57" t="s">
        <v>440</v>
      </c>
      <c r="D31" s="859">
        <f>INDEX($Y$158:$AD$161,MATCH($C$13,$X$158:$X$161,0),MATCH($D$19,$Y$157:$AD$157,-1))</f>
        <v>280</v>
      </c>
      <c r="E31" s="859"/>
      <c r="F31" s="859"/>
      <c r="G31" s="37"/>
      <c r="H31" s="37"/>
      <c r="I31" s="37"/>
      <c r="J31" s="37"/>
      <c r="K31" s="37"/>
      <c r="L31" s="37">
        <f>INDEX($Y$164:$AD$167,MATCH($C$13,$X$164:$X$167,0),MATCH($D$19,$Y$163:$AD$163,-1))</f>
        <v>63</v>
      </c>
      <c r="M31" s="37"/>
      <c r="N31" s="37"/>
      <c r="O31" s="37"/>
      <c r="P31" s="881"/>
      <c r="Q31" s="1071"/>
      <c r="R31" s="117">
        <f>VLOOKUP(D31,$U$58:$V$63,2,0)</f>
        <v>50</v>
      </c>
      <c r="S31" s="125"/>
      <c r="T31" s="222"/>
      <c r="U31" s="1484" t="str">
        <f t="shared" si="3"/>
        <v>kan niet</v>
      </c>
      <c r="V31" s="1485" t="str">
        <f t="shared" si="4"/>
        <v>kan niet</v>
      </c>
      <c r="W31" s="125"/>
      <c r="X31" s="1171">
        <v>15</v>
      </c>
      <c r="Y31" s="1141">
        <f>VLOOKUP(Y25,$AS$23:$AX$34,4)</f>
        <v>104</v>
      </c>
      <c r="Z31" s="1142">
        <f t="shared" ref="Z31:AC32" si="18">VLOOKUP(Z25,$AS$23:$AX$34,4)</f>
        <v>66.25</v>
      </c>
      <c r="AA31" s="1142">
        <f t="shared" si="18"/>
        <v>47.583333333333336</v>
      </c>
      <c r="AB31" s="1142">
        <f t="shared" si="18"/>
        <v>30.083333333333332</v>
      </c>
      <c r="AC31" s="1143">
        <f t="shared" si="18"/>
        <v>25.583333333333332</v>
      </c>
      <c r="AD31" s="64"/>
      <c r="AE31" s="124"/>
      <c r="AF31" s="124"/>
      <c r="AG31" s="124"/>
      <c r="AH31" s="124"/>
      <c r="AI31" s="1171">
        <v>15</v>
      </c>
      <c r="AJ31" s="124"/>
      <c r="AK31" s="124"/>
      <c r="AL31" s="124"/>
      <c r="AM31" s="124"/>
      <c r="AN31" s="281"/>
      <c r="AO31" s="64"/>
      <c r="AP31" s="64"/>
      <c r="AQ31" s="64"/>
      <c r="AR31" s="57"/>
      <c r="AS31" s="897" t="s">
        <v>475</v>
      </c>
      <c r="AT31" s="155">
        <v>1200</v>
      </c>
      <c r="AU31" s="155">
        <v>79.5</v>
      </c>
      <c r="AV31" s="129">
        <f t="shared" si="14"/>
        <v>66.25</v>
      </c>
      <c r="AW31" s="57">
        <f t="shared" si="6"/>
        <v>292.29000000000002</v>
      </c>
      <c r="AX31" s="898">
        <f t="shared" si="15"/>
        <v>358.54</v>
      </c>
      <c r="AY31" s="57">
        <v>570</v>
      </c>
      <c r="AZ31" s="57"/>
      <c r="BA31" s="57"/>
      <c r="BB31" s="64"/>
      <c r="BC31" s="64"/>
      <c r="BD31" s="78"/>
    </row>
    <row r="32" spans="1:95" ht="18" customHeight="1" x14ac:dyDescent="0.2">
      <c r="B32" s="128">
        <v>11</v>
      </c>
      <c r="C32" s="57" t="s">
        <v>44</v>
      </c>
      <c r="D32" s="859">
        <f>INDEX($Y$174:$AE$177,MATCH($C$13,$X$174:$X$177,0),MATCH($D$19,$Y$173:$AE$173,-1))</f>
        <v>200</v>
      </c>
      <c r="E32" s="859"/>
      <c r="F32" s="859">
        <f>INDEX($Y$180:$AE$183,MATCH($C$13,$X$180:$X$183,0),MATCH($D$19,$Y$179:$AE$179,-1))</f>
        <v>480</v>
      </c>
      <c r="G32" s="37"/>
      <c r="H32" s="37">
        <f>INDEX($AJ$174:$AP$177,MATCH($C$13,$AI$174:$AI$177,0),MATCH($D$19,$AJ$173:$AP$173,-1))</f>
        <v>1.95</v>
      </c>
      <c r="I32" s="37"/>
      <c r="J32" s="37"/>
      <c r="K32" s="37"/>
      <c r="L32" s="37"/>
      <c r="M32" s="37"/>
      <c r="N32" s="37"/>
      <c r="O32" s="37"/>
      <c r="P32" s="881"/>
      <c r="Q32" s="1071">
        <v>0</v>
      </c>
      <c r="R32" s="117">
        <f>VLOOKUP(D32,$U$64:$V$67,2)</f>
        <v>382</v>
      </c>
      <c r="S32" s="125"/>
      <c r="T32" s="996" t="s">
        <v>121</v>
      </c>
      <c r="U32" s="1462">
        <f t="shared" ref="U32:U38" si="19">AT65</f>
        <v>218</v>
      </c>
      <c r="V32" s="1457">
        <f t="shared" ref="V32:V38" si="20">AX65</f>
        <v>17.429600000000001</v>
      </c>
      <c r="W32" s="125"/>
      <c r="X32" s="280">
        <v>20</v>
      </c>
      <c r="Y32" s="1144" t="str">
        <f>VLOOKUP(Y26,$AS$23:$AX$34,4)</f>
        <v>kan niet</v>
      </c>
      <c r="Z32" s="1145" t="str">
        <f t="shared" si="18"/>
        <v>kan niet</v>
      </c>
      <c r="AA32" s="1145" t="str">
        <f t="shared" si="18"/>
        <v>kan niet</v>
      </c>
      <c r="AB32" s="1145" t="str">
        <f t="shared" si="18"/>
        <v>kan niet</v>
      </c>
      <c r="AC32" s="1146" t="str">
        <f t="shared" si="18"/>
        <v>kan niet</v>
      </c>
      <c r="AD32" s="64"/>
      <c r="AE32" s="124"/>
      <c r="AF32" s="124"/>
      <c r="AG32" s="124"/>
      <c r="AH32" s="124"/>
      <c r="AI32" s="280">
        <v>20</v>
      </c>
      <c r="AJ32" s="282"/>
      <c r="AK32" s="282"/>
      <c r="AL32" s="282"/>
      <c r="AM32" s="282"/>
      <c r="AN32" s="283"/>
      <c r="AO32" s="129"/>
      <c r="AP32" s="64"/>
      <c r="AQ32" s="315"/>
      <c r="AR32" s="57"/>
      <c r="AS32" s="897" t="s">
        <v>476</v>
      </c>
      <c r="AT32" s="155">
        <v>1200</v>
      </c>
      <c r="AU32" s="155">
        <v>107.6</v>
      </c>
      <c r="AV32" s="129">
        <f t="shared" si="14"/>
        <v>89.666666666666671</v>
      </c>
      <c r="AW32" s="57">
        <f t="shared" si="6"/>
        <v>292.29000000000002</v>
      </c>
      <c r="AX32" s="898">
        <f t="shared" si="15"/>
        <v>381.95666666666671</v>
      </c>
      <c r="AY32" s="57">
        <v>670</v>
      </c>
      <c r="AZ32" s="57"/>
      <c r="BA32" s="57"/>
      <c r="BB32" s="64"/>
      <c r="BC32" s="64"/>
      <c r="BD32" s="78"/>
      <c r="BG32" s="120"/>
    </row>
    <row r="33" spans="2:56" ht="18" customHeight="1" x14ac:dyDescent="0.2">
      <c r="B33" s="128">
        <v>12</v>
      </c>
      <c r="C33" s="57" t="s">
        <v>43</v>
      </c>
      <c r="D33" s="859">
        <f>INDEX($Y$188:$AE$191,MATCH($C$13,$X$188:$X$191,0),MATCH($D$19,$Y$187:$AE$187,-1))</f>
        <v>200</v>
      </c>
      <c r="E33" s="859"/>
      <c r="F33" s="859">
        <f>INDEX($Y$194:$AE$197,MATCH($C$13,$X$194:$X$197,0),MATCH($D$19,$Y$193:$AE$193,-1))</f>
        <v>480</v>
      </c>
      <c r="G33" s="37"/>
      <c r="H33" s="37">
        <f>INDEX($AJ$188:$AP$191,MATCH($C$13,$AI$188:$AI$191,0),MATCH($D$19,$AJ$187:$AP$187,-1))</f>
        <v>1.95</v>
      </c>
      <c r="I33" s="37"/>
      <c r="J33" s="37"/>
      <c r="K33" s="37"/>
      <c r="L33" s="37"/>
      <c r="M33" s="37"/>
      <c r="N33" s="37"/>
      <c r="O33" s="37"/>
      <c r="P33" s="881"/>
      <c r="Q33" s="1071">
        <v>0</v>
      </c>
      <c r="R33" s="117">
        <f>VLOOKUP(D33,$U$68:$V$71,2)</f>
        <v>382</v>
      </c>
      <c r="S33" s="125"/>
      <c r="T33" s="996"/>
      <c r="U33" s="1462">
        <f t="shared" si="19"/>
        <v>243</v>
      </c>
      <c r="V33" s="1457">
        <f t="shared" si="20"/>
        <v>23.806691000000001</v>
      </c>
      <c r="W33" s="125"/>
      <c r="X33" s="332"/>
      <c r="Y33" s="53"/>
      <c r="Z33" s="53"/>
      <c r="AA33" s="53"/>
      <c r="AB33" s="53"/>
      <c r="AC33" s="53"/>
      <c r="AD33" s="124"/>
      <c r="AE33" s="124"/>
      <c r="AF33" s="124"/>
      <c r="AG33" s="124"/>
      <c r="AH33" s="124"/>
      <c r="AI33" s="124"/>
      <c r="AJ33" s="124"/>
      <c r="AK33" s="124"/>
      <c r="AL33" s="124"/>
      <c r="AM33" s="124"/>
      <c r="AN33" s="64"/>
      <c r="AO33" s="129"/>
      <c r="AP33" s="64"/>
      <c r="AQ33" s="315"/>
      <c r="AR33" s="57"/>
      <c r="AS33" s="897" t="s">
        <v>478</v>
      </c>
      <c r="AT33" s="155">
        <v>1200</v>
      </c>
      <c r="AU33" s="155">
        <v>124.8</v>
      </c>
      <c r="AV33" s="129">
        <f t="shared" si="14"/>
        <v>104</v>
      </c>
      <c r="AW33" s="57">
        <f t="shared" si="6"/>
        <v>292.29000000000002</v>
      </c>
      <c r="AX33" s="898">
        <f t="shared" si="15"/>
        <v>396.29</v>
      </c>
      <c r="AY33" s="57">
        <v>720</v>
      </c>
      <c r="AZ33" s="57"/>
      <c r="BA33" s="57"/>
      <c r="BB33" s="64"/>
      <c r="BC33" s="64"/>
      <c r="BD33" s="78"/>
    </row>
    <row r="34" spans="2:56" ht="18" customHeight="1" x14ac:dyDescent="0.2">
      <c r="B34" s="128">
        <v>13</v>
      </c>
      <c r="C34" s="57" t="s">
        <v>47</v>
      </c>
      <c r="D34" s="859">
        <f>INDEX($Y$202:$AE$205,MATCH($C$13,$X$202:$X$205,0),MATCH($D$19,$Y$201:$AE$201,-1))</f>
        <v>200</v>
      </c>
      <c r="E34" s="859"/>
      <c r="F34" s="859">
        <f>INDEX($Y$208:$AE$211,MATCH($C$13,$X$208:$X$211,0),MATCH($D$19,$Y$207:$AE$207,-1))</f>
        <v>382</v>
      </c>
      <c r="G34" s="37"/>
      <c r="H34" s="37">
        <f>INDEX($AJ$202:$AO$205,MATCH($C$13,$AI$202:$AI$205,0),MATCH($D$19,$AJ$201:$AO$201,-1))</f>
        <v>1.95</v>
      </c>
      <c r="I34" s="37"/>
      <c r="J34" s="37"/>
      <c r="K34" s="37"/>
      <c r="L34" s="37"/>
      <c r="M34" s="37"/>
      <c r="N34" s="37"/>
      <c r="O34" s="37"/>
      <c r="P34" s="881"/>
      <c r="Q34" s="1071"/>
      <c r="R34" s="117">
        <f>VLOOKUP(D34,$U$72:$V$76,2)</f>
        <v>377</v>
      </c>
      <c r="S34" s="125"/>
      <c r="T34" s="996"/>
      <c r="U34" s="1462">
        <f t="shared" si="19"/>
        <v>243</v>
      </c>
      <c r="V34" s="1457">
        <f t="shared" si="20"/>
        <v>30.067399999999999</v>
      </c>
      <c r="W34" s="125"/>
      <c r="X34" s="230" t="s">
        <v>1077</v>
      </c>
      <c r="Y34" s="338">
        <f>0.07*2400</f>
        <v>168.00000000000003</v>
      </c>
      <c r="Z34" s="339" t="s">
        <v>106</v>
      </c>
      <c r="AA34" s="86"/>
      <c r="AB34" s="316" t="s">
        <v>401</v>
      </c>
      <c r="AC34" s="317">
        <f>SUM(Y34:Y38)</f>
        <v>292.29000000000002</v>
      </c>
      <c r="AD34" s="318" t="s">
        <v>67</v>
      </c>
      <c r="AE34" s="124"/>
      <c r="AF34" s="124"/>
      <c r="AG34" s="124"/>
      <c r="AH34" s="124"/>
      <c r="AI34" s="124"/>
      <c r="AJ34" s="64"/>
      <c r="AK34" s="64"/>
      <c r="AL34" s="64"/>
      <c r="AM34" s="64"/>
      <c r="AN34" s="64"/>
      <c r="AO34" s="64"/>
      <c r="AP34" s="64"/>
      <c r="AQ34" s="64"/>
      <c r="AR34" s="57"/>
      <c r="AS34" s="57" t="s">
        <v>561</v>
      </c>
      <c r="AT34" s="57" t="s">
        <v>561</v>
      </c>
      <c r="AU34" s="57" t="s">
        <v>561</v>
      </c>
      <c r="AV34" s="57" t="s">
        <v>561</v>
      </c>
      <c r="AW34" s="57" t="s">
        <v>561</v>
      </c>
      <c r="AX34" s="57" t="s">
        <v>561</v>
      </c>
      <c r="AY34" s="57" t="s">
        <v>561</v>
      </c>
      <c r="AZ34" s="57"/>
      <c r="BA34" s="57"/>
      <c r="BB34" s="64"/>
      <c r="BC34" s="64"/>
      <c r="BD34" s="78"/>
    </row>
    <row r="35" spans="2:56" ht="18" customHeight="1" x14ac:dyDescent="0.2">
      <c r="B35" s="128">
        <v>14</v>
      </c>
      <c r="C35" s="57" t="s">
        <v>441</v>
      </c>
      <c r="D35" s="859">
        <f>INDEX($Y$216:$AD$219,MATCH($C$13,$X$216:$X$219,0),MATCH($D$19,$Y$215:$AD$215,-1))</f>
        <v>700</v>
      </c>
      <c r="E35" s="859"/>
      <c r="F35" s="859">
        <f>INDEX($Y$222:$AD$225,MATCH($C$13,$X$222:$X$225,0),MATCH($D$19,$Y$221:$AD$221,-1))</f>
        <v>624</v>
      </c>
      <c r="G35" s="37">
        <f>INDEX($AJ$216:$AO$219,MATCH($C$13,$AI$216:$AI$219,0),MATCH($D$19,$AJ$215:$AO$215,-1))</f>
        <v>35</v>
      </c>
      <c r="H35" s="37"/>
      <c r="I35" s="37"/>
      <c r="J35" s="37"/>
      <c r="K35" s="37"/>
      <c r="L35" s="37"/>
      <c r="M35" s="37"/>
      <c r="N35" s="37"/>
      <c r="O35" s="883"/>
      <c r="P35" s="881"/>
      <c r="Q35" s="1071"/>
      <c r="R35" s="117">
        <f>VLOOKUP(D35,$U$77:$V$78,2)</f>
        <v>624</v>
      </c>
      <c r="S35" s="125"/>
      <c r="T35" s="996"/>
      <c r="U35" s="1462">
        <f t="shared" si="19"/>
        <v>268</v>
      </c>
      <c r="V35" s="1457">
        <f t="shared" si="20"/>
        <v>32.552399999999999</v>
      </c>
      <c r="W35" s="125"/>
      <c r="X35" s="1179" t="s">
        <v>107</v>
      </c>
      <c r="Y35" s="130">
        <v>1.97</v>
      </c>
      <c r="Z35" s="340" t="s">
        <v>106</v>
      </c>
      <c r="AA35" s="134"/>
      <c r="AB35" s="134"/>
      <c r="AC35" s="134"/>
      <c r="AD35" s="124"/>
      <c r="AE35" s="124"/>
      <c r="AF35" s="124"/>
      <c r="AG35" s="124"/>
      <c r="AH35" s="124"/>
      <c r="AI35" s="124"/>
      <c r="AJ35" s="64"/>
      <c r="AK35" s="64"/>
      <c r="AL35" s="64"/>
      <c r="AM35" s="64"/>
      <c r="AN35" s="64"/>
      <c r="AO35" s="64"/>
      <c r="AP35" s="64"/>
      <c r="AQ35" s="64"/>
      <c r="AR35" s="64"/>
      <c r="AS35" s="64"/>
      <c r="AT35" s="64"/>
      <c r="AU35" s="64"/>
      <c r="AV35" s="64"/>
      <c r="AW35" s="64"/>
      <c r="AX35" s="64"/>
      <c r="AY35" s="64"/>
      <c r="AZ35" s="64"/>
      <c r="BA35" s="64"/>
      <c r="BB35" s="64"/>
      <c r="BC35" s="64"/>
      <c r="BD35" s="78"/>
    </row>
    <row r="36" spans="2:56" ht="18" customHeight="1" x14ac:dyDescent="0.2">
      <c r="B36" s="128">
        <v>15</v>
      </c>
      <c r="C36" s="57" t="s">
        <v>39</v>
      </c>
      <c r="D36" s="859">
        <f>INDEX($Y$233:$AD$236,MATCH($C$13,$X$233:$X$236,0),MATCH($D$19,$Y$231:$AD$231,-1))</f>
        <v>250</v>
      </c>
      <c r="E36" s="859">
        <f>INDEX($X$245:$AD$250,MATCH($C$13,$X$246:$X$250,0),MATCH($D$19,$Y$245:$AD$245,-1))</f>
        <v>456</v>
      </c>
      <c r="F36" s="859">
        <f>INDEX($Y$239:$AD$243,MATCH($C$13,$X$239:$X$243,0),MATCH($D$19,$Y$238:$AD$238,-1))</f>
        <v>120</v>
      </c>
      <c r="G36" s="37">
        <f>INDEX($AJ$232:$AO$236,MATCH($C$13,$AI$232:$AI$236,0),MATCH($D$19,$AJ$231:$AO$231,-1))</f>
        <v>15</v>
      </c>
      <c r="H36" s="37"/>
      <c r="I36" s="37"/>
      <c r="J36" s="37"/>
      <c r="K36" s="37"/>
      <c r="L36" s="37"/>
      <c r="M36" s="37"/>
      <c r="N36" s="37"/>
      <c r="O36" s="37"/>
      <c r="P36" s="881"/>
      <c r="Q36" s="1071"/>
      <c r="R36" s="117">
        <f>VLOOKUP(D36,$U$79:$V$87,2)</f>
        <v>552</v>
      </c>
      <c r="S36" s="125"/>
      <c r="T36" s="996"/>
      <c r="U36" s="1462">
        <f t="shared" si="19"/>
        <v>293</v>
      </c>
      <c r="V36" s="1457">
        <f t="shared" si="20"/>
        <v>35.037399999999998</v>
      </c>
      <c r="W36" s="125"/>
      <c r="X36" s="1171" t="s">
        <v>108</v>
      </c>
      <c r="Y36" s="134">
        <v>0</v>
      </c>
      <c r="Z36" s="340" t="s">
        <v>106</v>
      </c>
      <c r="AA36" s="134"/>
      <c r="AB36" s="134"/>
      <c r="AC36" s="134"/>
      <c r="AD36" s="124"/>
      <c r="AE36" s="124"/>
      <c r="AF36" s="124"/>
      <c r="AG36" s="124"/>
      <c r="AH36" s="124"/>
      <c r="AI36" s="124"/>
      <c r="AJ36" s="64"/>
      <c r="AK36" s="64"/>
      <c r="AL36" s="64"/>
      <c r="AM36" s="64"/>
      <c r="AN36" s="64"/>
      <c r="AO36" s="64"/>
      <c r="AP36" s="64"/>
      <c r="AQ36" s="64"/>
      <c r="AR36" s="64"/>
      <c r="AS36" s="64"/>
      <c r="AT36" s="64"/>
      <c r="AU36" s="64"/>
      <c r="AV36" s="64"/>
      <c r="AW36" s="64"/>
      <c r="AX36" s="64"/>
      <c r="AY36" s="64"/>
      <c r="AZ36" s="64"/>
      <c r="BA36" s="64"/>
      <c r="BB36" s="64"/>
      <c r="BC36" s="64"/>
      <c r="BD36" s="78"/>
    </row>
    <row r="37" spans="2:56" ht="18" customHeight="1" x14ac:dyDescent="0.2">
      <c r="B37" s="128">
        <v>16</v>
      </c>
      <c r="C37" s="172" t="s">
        <v>200</v>
      </c>
      <c r="D37" s="859">
        <f>INDEX($Y$282:$AD$285,MATCH($I$13,$X$282:$X$285,0),MATCH($D$19,$Y$281:$AD$281,-1))</f>
        <v>453</v>
      </c>
      <c r="E37" s="859"/>
      <c r="F37" s="859"/>
      <c r="G37" s="37"/>
      <c r="H37" s="882"/>
      <c r="I37" s="882"/>
      <c r="J37" s="882"/>
      <c r="K37" s="882"/>
      <c r="L37" s="882"/>
      <c r="M37" s="882"/>
      <c r="N37" s="37"/>
      <c r="O37" s="37"/>
      <c r="P37" s="881"/>
      <c r="Q37" s="1071"/>
      <c r="R37" s="142">
        <f>VLOOKUP(D37,$U$106:$V$109,2,0)</f>
        <v>4.8499999999999996</v>
      </c>
      <c r="S37" s="125"/>
      <c r="T37" s="996"/>
      <c r="U37" s="1462">
        <f t="shared" si="19"/>
        <v>297</v>
      </c>
      <c r="V37" s="1457">
        <f t="shared" si="20"/>
        <v>44.193750000000001</v>
      </c>
      <c r="W37" s="125"/>
      <c r="X37" s="1171" t="s">
        <v>109</v>
      </c>
      <c r="Y37" s="134">
        <v>5.91</v>
      </c>
      <c r="Z37" s="340" t="s">
        <v>106</v>
      </c>
      <c r="AA37" s="134"/>
      <c r="AB37" s="134"/>
      <c r="AC37" s="134"/>
      <c r="AD37" s="124"/>
      <c r="AE37" s="124"/>
      <c r="AF37" s="124"/>
      <c r="AG37" s="124"/>
      <c r="AH37" s="124"/>
      <c r="AI37" s="124"/>
      <c r="AJ37" s="64"/>
      <c r="AK37" s="64"/>
      <c r="AL37" s="64"/>
      <c r="AM37" s="64"/>
      <c r="AN37" s="64"/>
      <c r="AO37" s="64"/>
      <c r="AP37" s="64"/>
      <c r="AQ37" s="64"/>
      <c r="AR37" s="64"/>
      <c r="AS37" s="64"/>
      <c r="AT37" s="64"/>
      <c r="AU37" s="64"/>
      <c r="AV37" s="64"/>
      <c r="AW37" s="64"/>
      <c r="AX37" s="64"/>
      <c r="AY37" s="64"/>
      <c r="AZ37" s="64"/>
      <c r="BA37" s="64"/>
      <c r="BB37" s="64"/>
      <c r="BC37" s="64"/>
      <c r="BD37" s="78"/>
    </row>
    <row r="38" spans="2:56" ht="18" customHeight="1" x14ac:dyDescent="0.2">
      <c r="B38" s="128">
        <v>17</v>
      </c>
      <c r="C38" s="57" t="s">
        <v>418</v>
      </c>
      <c r="D38" s="859">
        <f>INDEX($Y$274:$AD$277,MATCH($I$13,$X$274:$X$277,0),MATCH($D$19,$Y$273:$AD$273,-1))</f>
        <v>110</v>
      </c>
      <c r="E38" s="859"/>
      <c r="F38" s="859"/>
      <c r="G38" s="37"/>
      <c r="H38" s="882"/>
      <c r="I38" s="882"/>
      <c r="J38" s="882"/>
      <c r="K38" s="882"/>
      <c r="L38" s="882"/>
      <c r="M38" s="882"/>
      <c r="N38" s="37"/>
      <c r="O38" s="37"/>
      <c r="P38" s="881"/>
      <c r="Q38" s="1071"/>
      <c r="R38" s="142">
        <f>VLOOKUP(D38,$U$102:$V$105,2,0)</f>
        <v>17.7</v>
      </c>
      <c r="S38" s="125"/>
      <c r="T38" s="996"/>
      <c r="U38" s="1462" t="str">
        <f t="shared" si="19"/>
        <v>kan niet</v>
      </c>
      <c r="V38" s="1457" t="str">
        <f t="shared" si="20"/>
        <v>kan niet</v>
      </c>
      <c r="W38" s="125"/>
      <c r="X38" s="280" t="s">
        <v>110</v>
      </c>
      <c r="Y38" s="901">
        <v>116.41</v>
      </c>
      <c r="Z38" s="341" t="s">
        <v>106</v>
      </c>
      <c r="AA38" s="134"/>
      <c r="AB38" s="134"/>
      <c r="AC38" s="134"/>
      <c r="AD38" s="124"/>
      <c r="AE38" s="124"/>
      <c r="AF38" s="124"/>
      <c r="AG38" s="124"/>
      <c r="AH38" s="124"/>
      <c r="AI38" s="124"/>
      <c r="AJ38" s="64"/>
      <c r="AK38" s="64"/>
      <c r="AL38" s="64"/>
      <c r="AM38" s="64"/>
      <c r="AN38" s="64"/>
      <c r="AO38" s="64"/>
      <c r="AP38" s="64"/>
      <c r="AQ38" s="64"/>
      <c r="AR38" s="64"/>
      <c r="AS38" s="64"/>
      <c r="AT38" s="64"/>
      <c r="AU38" s="64"/>
      <c r="AV38" s="64"/>
      <c r="AW38" s="64"/>
      <c r="AX38" s="64"/>
      <c r="AY38" s="64"/>
      <c r="AZ38" s="64"/>
      <c r="BA38" s="64"/>
      <c r="BB38" s="64"/>
      <c r="BC38" s="64"/>
      <c r="BD38" s="78"/>
    </row>
    <row r="39" spans="2:56" ht="18" customHeight="1" thickBot="1" x14ac:dyDescent="0.25">
      <c r="B39" s="128">
        <v>18</v>
      </c>
      <c r="C39" s="57" t="s">
        <v>486</v>
      </c>
      <c r="D39" s="859">
        <f>INDEX($Y$260:$AD$263,MATCH($C$13,$X$260:$X$263,0),MATCH($D$19,$Y$259:$AD$259,-1))</f>
        <v>330</v>
      </c>
      <c r="E39" s="859"/>
      <c r="F39" s="859">
        <f>INDEX($Y$266:$AD$269,MATCH($C$13,$X$266:$X$269,0),MATCH($D$19,$Y$265:$AD$265,-1))</f>
        <v>297</v>
      </c>
      <c r="G39" s="37">
        <f>INDEX($AJ$260:$AO$263,MATCH($C$13,$AI$260:$AI$263,0),MATCH($D$19,$AJ$259:$AO$259,-1))</f>
        <v>0</v>
      </c>
      <c r="H39" s="882"/>
      <c r="I39" s="882"/>
      <c r="J39" s="882"/>
      <c r="K39" s="882"/>
      <c r="L39" s="882"/>
      <c r="M39" s="882"/>
      <c r="N39" s="37"/>
      <c r="O39" s="37"/>
      <c r="P39" s="881"/>
      <c r="Q39" s="1071"/>
      <c r="R39" s="117">
        <f>VLOOKUP(D39,$U$88:$V$94,2)</f>
        <v>297</v>
      </c>
      <c r="S39" s="125"/>
      <c r="T39" s="1454" t="s">
        <v>45</v>
      </c>
      <c r="U39" s="1461">
        <v>150</v>
      </c>
      <c r="V39" s="1455">
        <v>233</v>
      </c>
      <c r="W39" s="125"/>
      <c r="X39" s="333"/>
      <c r="Y39" s="124"/>
      <c r="Z39" s="124"/>
      <c r="AA39" s="124"/>
      <c r="AB39" s="124"/>
      <c r="AC39" s="124"/>
      <c r="AD39" s="124"/>
      <c r="AE39" s="124"/>
      <c r="AF39" s="124"/>
      <c r="AG39" s="124"/>
      <c r="AH39" s="124"/>
      <c r="AI39" s="124"/>
      <c r="AJ39" s="64"/>
      <c r="AK39" s="64"/>
      <c r="AL39" s="64"/>
      <c r="AM39" s="64"/>
      <c r="AN39" s="64"/>
      <c r="AO39" s="64"/>
      <c r="AP39" s="64"/>
      <c r="AQ39" s="64"/>
      <c r="AR39" s="64"/>
      <c r="AS39" s="64"/>
      <c r="AT39" s="64"/>
      <c r="AU39" s="64"/>
      <c r="AV39" s="64"/>
      <c r="AW39" s="64"/>
      <c r="AX39" s="64"/>
      <c r="AY39" s="64"/>
      <c r="AZ39" s="64"/>
      <c r="BA39" s="64"/>
      <c r="BB39" s="64"/>
      <c r="BC39" s="64"/>
      <c r="BD39" s="78"/>
    </row>
    <row r="40" spans="2:56" ht="18" customHeight="1" thickBot="1" x14ac:dyDescent="0.25">
      <c r="B40" s="884"/>
      <c r="C40" s="885"/>
      <c r="D40" s="886"/>
      <c r="E40" s="886"/>
      <c r="F40" s="886"/>
      <c r="G40" s="887"/>
      <c r="H40" s="888"/>
      <c r="I40" s="886"/>
      <c r="J40" s="886"/>
      <c r="K40" s="886"/>
      <c r="L40" s="886"/>
      <c r="M40" s="886"/>
      <c r="N40" s="887"/>
      <c r="O40" s="887"/>
      <c r="P40" s="889"/>
      <c r="Q40" s="1072"/>
      <c r="R40" s="135"/>
      <c r="S40" s="125"/>
      <c r="T40" s="996"/>
      <c r="U40" s="1462">
        <v>175</v>
      </c>
      <c r="V40" s="1456">
        <v>353</v>
      </c>
      <c r="W40" s="125"/>
      <c r="X40" s="254" t="s">
        <v>618</v>
      </c>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6"/>
    </row>
    <row r="41" spans="2:56" ht="18" customHeight="1" thickBot="1" x14ac:dyDescent="0.25">
      <c r="Q41" s="1073"/>
      <c r="S41" s="125"/>
      <c r="T41" s="996"/>
      <c r="U41" s="1462">
        <v>200</v>
      </c>
      <c r="V41" s="1456">
        <v>293</v>
      </c>
      <c r="W41" s="125"/>
      <c r="X41" s="138"/>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820"/>
    </row>
    <row r="42" spans="2:56" ht="18" customHeight="1" thickBot="1" x14ac:dyDescent="0.25">
      <c r="B42" s="167" t="s">
        <v>305</v>
      </c>
      <c r="C42" s="54"/>
      <c r="D42" s="54"/>
      <c r="E42" s="55"/>
      <c r="F42" s="55"/>
      <c r="G42" s="55"/>
      <c r="H42" s="55"/>
      <c r="I42" s="55"/>
      <c r="J42" s="55"/>
      <c r="K42" s="55"/>
      <c r="L42" s="55"/>
      <c r="M42" s="55"/>
      <c r="N42" s="55"/>
      <c r="O42" s="55"/>
      <c r="P42" s="55"/>
      <c r="Q42" s="1074"/>
      <c r="R42" s="56"/>
      <c r="S42" s="125"/>
      <c r="T42" s="996"/>
      <c r="U42" s="1462">
        <v>330</v>
      </c>
      <c r="V42" s="1456">
        <v>426</v>
      </c>
      <c r="W42" s="125"/>
      <c r="X42" s="229" t="s">
        <v>1075</v>
      </c>
      <c r="Y42" s="288"/>
      <c r="Z42" s="291"/>
      <c r="AA42" s="257"/>
      <c r="AB42" s="257"/>
      <c r="AC42" s="257"/>
      <c r="AD42" s="258"/>
      <c r="AE42" s="64"/>
      <c r="AF42" s="64"/>
      <c r="AG42" s="64"/>
      <c r="AH42" s="64"/>
      <c r="AI42" s="229" t="s">
        <v>844</v>
      </c>
      <c r="AJ42" s="288"/>
      <c r="AK42" s="291"/>
      <c r="AL42" s="257"/>
      <c r="AM42" s="257"/>
      <c r="AN42" s="257"/>
      <c r="AO42" s="258"/>
      <c r="AP42" s="64"/>
      <c r="AQ42" s="64"/>
      <c r="AR42" s="64"/>
      <c r="AS42" s="64"/>
      <c r="AT42" s="64"/>
      <c r="AU42" s="64"/>
      <c r="AV42" s="64"/>
      <c r="AW42" s="64"/>
      <c r="AX42" s="64"/>
      <c r="AY42" s="64"/>
      <c r="AZ42" s="64"/>
      <c r="BA42" s="64"/>
      <c r="BB42" s="64"/>
      <c r="BC42" s="64"/>
      <c r="BD42" s="78"/>
    </row>
    <row r="43" spans="2:56" ht="18" customHeight="1" thickBot="1" x14ac:dyDescent="0.25">
      <c r="B43" s="92"/>
      <c r="C43" s="64"/>
      <c r="D43" s="136"/>
      <c r="E43" s="64"/>
      <c r="F43" s="64"/>
      <c r="G43" s="64"/>
      <c r="H43" s="64"/>
      <c r="I43" s="64"/>
      <c r="J43" s="64"/>
      <c r="K43" s="64"/>
      <c r="L43" s="64"/>
      <c r="M43" s="64"/>
      <c r="N43" s="64"/>
      <c r="O43" s="64"/>
      <c r="P43" s="58"/>
      <c r="Q43" s="172"/>
      <c r="R43" s="94"/>
      <c r="S43" s="125"/>
      <c r="T43" s="222"/>
      <c r="U43" s="1478" t="s">
        <v>561</v>
      </c>
      <c r="V43" s="1481" t="s">
        <v>561</v>
      </c>
      <c r="W43" s="125"/>
      <c r="X43" s="259" t="s">
        <v>407</v>
      </c>
      <c r="Y43" s="289"/>
      <c r="Z43" s="260">
        <v>12.6</v>
      </c>
      <c r="AA43" s="292">
        <v>10.8</v>
      </c>
      <c r="AB43" s="292">
        <v>7.2</v>
      </c>
      <c r="AC43" s="292">
        <v>5.4</v>
      </c>
      <c r="AD43" s="293">
        <v>3.6</v>
      </c>
      <c r="AE43" s="64"/>
      <c r="AF43" s="64"/>
      <c r="AG43" s="64"/>
      <c r="AH43" s="64"/>
      <c r="AI43" s="259" t="s">
        <v>67</v>
      </c>
      <c r="AJ43" s="289"/>
      <c r="AK43" s="260">
        <v>12.6</v>
      </c>
      <c r="AL43" s="292">
        <v>10.8</v>
      </c>
      <c r="AM43" s="292">
        <v>7.2</v>
      </c>
      <c r="AN43" s="292">
        <v>5.4</v>
      </c>
      <c r="AO43" s="293">
        <v>3.6</v>
      </c>
      <c r="AP43" s="64"/>
      <c r="AQ43" s="64"/>
      <c r="AR43" s="64"/>
      <c r="AS43" s="64"/>
      <c r="AT43" s="64"/>
      <c r="AU43" s="64"/>
      <c r="AV43" s="64"/>
      <c r="AW43" s="64"/>
      <c r="AX43" s="64"/>
      <c r="AY43" s="64"/>
      <c r="AZ43" s="64"/>
      <c r="BA43" s="64"/>
      <c r="BB43" s="64"/>
      <c r="BC43" s="64"/>
      <c r="BD43" s="78"/>
    </row>
    <row r="44" spans="2:56" ht="18" customHeight="1" x14ac:dyDescent="0.2">
      <c r="B44" s="92" t="s">
        <v>379</v>
      </c>
      <c r="C44" s="64"/>
      <c r="D44" s="1221">
        <f>'01_ALGEMEEN'!D134</f>
        <v>3.7</v>
      </c>
      <c r="E44" s="138" t="s">
        <v>72</v>
      </c>
      <c r="F44" s="95"/>
      <c r="G44" s="64"/>
      <c r="H44" s="64"/>
      <c r="I44" s="64"/>
      <c r="J44" s="64"/>
      <c r="K44" s="64"/>
      <c r="L44" s="64"/>
      <c r="M44" s="64"/>
      <c r="N44" s="64"/>
      <c r="O44" s="64"/>
      <c r="P44" s="64"/>
      <c r="Q44" s="980" t="s">
        <v>350</v>
      </c>
      <c r="R44" s="97" t="s">
        <v>351</v>
      </c>
      <c r="S44" s="125"/>
      <c r="T44" s="1454" t="s">
        <v>1067</v>
      </c>
      <c r="U44" s="1461">
        <v>230</v>
      </c>
      <c r="V44" s="1455">
        <v>432</v>
      </c>
      <c r="W44" s="125"/>
      <c r="X44" s="285"/>
      <c r="Y44" s="289">
        <v>5</v>
      </c>
      <c r="Z44" s="294" t="s">
        <v>561</v>
      </c>
      <c r="AA44" s="1174">
        <v>450</v>
      </c>
      <c r="AB44" s="1174">
        <v>350</v>
      </c>
      <c r="AC44" s="1174">
        <v>200</v>
      </c>
      <c r="AD44" s="1175">
        <v>150</v>
      </c>
      <c r="AE44" s="64"/>
      <c r="AF44" s="64"/>
      <c r="AG44" s="64"/>
      <c r="AH44" s="64"/>
      <c r="AI44" s="285"/>
      <c r="AJ44" s="289">
        <v>5</v>
      </c>
      <c r="AK44" s="294" t="s">
        <v>561</v>
      </c>
      <c r="AL44" s="1174">
        <v>30</v>
      </c>
      <c r="AM44" s="1174">
        <v>15</v>
      </c>
      <c r="AN44" s="1174">
        <v>15</v>
      </c>
      <c r="AO44" s="1175">
        <v>10</v>
      </c>
      <c r="AP44" s="64"/>
      <c r="AQ44" s="64"/>
      <c r="AR44" s="64"/>
      <c r="AS44" s="64"/>
      <c r="AT44" s="64"/>
      <c r="AU44" s="64"/>
      <c r="AV44" s="64"/>
      <c r="AW44" s="64"/>
      <c r="AX44" s="64"/>
      <c r="AY44" s="64"/>
      <c r="AZ44" s="64"/>
      <c r="BA44" s="64"/>
      <c r="BB44" s="64"/>
      <c r="BC44" s="64"/>
      <c r="BD44" s="78"/>
    </row>
    <row r="45" spans="2:56" ht="18" customHeight="1" thickBot="1" x14ac:dyDescent="0.25">
      <c r="B45" s="139" t="s">
        <v>4</v>
      </c>
      <c r="C45" s="1223" t="str">
        <f>'01_ALGEMEEN'!D135</f>
        <v>prefab schil met I-profielen</v>
      </c>
      <c r="D45" s="1225">
        <f>VLOOKUP($C$45,$C$47:$P$64,2,0)</f>
        <v>390</v>
      </c>
      <c r="E45" s="1226">
        <f>VLOOKUP($C$45,$C$47:$P$64,3,0)</f>
        <v>116.41</v>
      </c>
      <c r="F45" s="101">
        <f>VLOOKUP($C$45,$C$47:$P$64,4,0)</f>
        <v>168.00000000000003</v>
      </c>
      <c r="G45" s="101">
        <f>VLOOKUP($C$45,$C$47:$P$64,5,0)</f>
        <v>1.97</v>
      </c>
      <c r="H45" s="101">
        <f>VLOOKUP($C$45,$C$47:$P$64,6,0)</f>
        <v>0</v>
      </c>
      <c r="I45" s="101">
        <f>VLOOKUP($C$45,$C$47:$P$64,7,0)</f>
        <v>30.083333333333332</v>
      </c>
      <c r="J45" s="101">
        <f>VLOOKUP($C$45,$C$47:$P$64,8,0)</f>
        <v>0</v>
      </c>
      <c r="K45" s="101">
        <f>VLOOKUP($C$45,$C$47:$P$64,9,0)</f>
        <v>0</v>
      </c>
      <c r="L45" s="101">
        <f>VLOOKUP($C$45,$C$47:$P$64,10,0)</f>
        <v>0</v>
      </c>
      <c r="M45" s="101">
        <f>VLOOKUP($C$45,$C$47:$P$64,11,0)</f>
        <v>0</v>
      </c>
      <c r="N45" s="101">
        <f>VLOOKUP($C$45,$C$47:$P$64,12,0)</f>
        <v>0</v>
      </c>
      <c r="O45" s="101">
        <f>VLOOKUP($C$45,$C$47:$P$64,13,0)</f>
        <v>0</v>
      </c>
      <c r="P45" s="101">
        <f>VLOOKUP($C$45,$C$47:$P$64,14,0)</f>
        <v>5.91</v>
      </c>
      <c r="Q45" s="1069">
        <f>VLOOKUP($C$20,$C$22:$P$39,14,0)</f>
        <v>5.91</v>
      </c>
      <c r="R45" s="105">
        <f>VLOOKUP($C$45,C47:R65,16,0)</f>
        <v>322.37333333333333</v>
      </c>
      <c r="S45" s="125"/>
      <c r="T45" s="996"/>
      <c r="U45" s="1462">
        <v>280</v>
      </c>
      <c r="V45" s="1456">
        <v>492</v>
      </c>
      <c r="W45" s="125"/>
      <c r="X45" s="285"/>
      <c r="Y45" s="289">
        <v>10</v>
      </c>
      <c r="Z45" s="294" t="s">
        <v>561</v>
      </c>
      <c r="AA45" s="1174">
        <v>450</v>
      </c>
      <c r="AB45" s="1174">
        <v>350</v>
      </c>
      <c r="AC45" s="1174">
        <v>200</v>
      </c>
      <c r="AD45" s="1175">
        <v>150</v>
      </c>
      <c r="AE45" s="64"/>
      <c r="AF45" s="64"/>
      <c r="AG45" s="64"/>
      <c r="AH45" s="64"/>
      <c r="AI45" s="285"/>
      <c r="AJ45" s="289">
        <v>10</v>
      </c>
      <c r="AK45" s="294" t="s">
        <v>561</v>
      </c>
      <c r="AL45" s="1174">
        <v>30</v>
      </c>
      <c r="AM45" s="1174">
        <v>15</v>
      </c>
      <c r="AN45" s="1174">
        <v>20</v>
      </c>
      <c r="AO45" s="1175">
        <v>10</v>
      </c>
      <c r="AP45" s="64"/>
      <c r="AQ45" s="64"/>
      <c r="AR45" s="64"/>
      <c r="AS45" s="64"/>
      <c r="AT45" s="64"/>
      <c r="AU45" s="64"/>
      <c r="AV45" s="64"/>
      <c r="AW45" s="64"/>
      <c r="AX45" s="64"/>
      <c r="AY45" s="64"/>
      <c r="AZ45" s="64"/>
      <c r="BA45" s="64"/>
      <c r="BB45" s="64"/>
      <c r="BC45" s="64"/>
      <c r="BD45" s="78"/>
    </row>
    <row r="46" spans="2:56" ht="18" customHeight="1" thickBot="1" x14ac:dyDescent="0.25">
      <c r="B46" s="106" t="s">
        <v>536</v>
      </c>
      <c r="C46" s="107"/>
      <c r="D46" s="107"/>
      <c r="E46" s="108" t="s">
        <v>192</v>
      </c>
      <c r="F46" s="108" t="s">
        <v>193</v>
      </c>
      <c r="G46" s="108" t="s">
        <v>101</v>
      </c>
      <c r="H46" s="109" t="s">
        <v>102</v>
      </c>
      <c r="I46" s="108" t="s">
        <v>216</v>
      </c>
      <c r="J46" s="108" t="s">
        <v>80</v>
      </c>
      <c r="K46" s="109" t="s">
        <v>100</v>
      </c>
      <c r="L46" s="108" t="s">
        <v>368</v>
      </c>
      <c r="M46" s="110" t="s">
        <v>111</v>
      </c>
      <c r="N46" s="110" t="s">
        <v>194</v>
      </c>
      <c r="O46" s="108" t="s">
        <v>173</v>
      </c>
      <c r="P46" s="110" t="s">
        <v>292</v>
      </c>
      <c r="Q46" s="1070" t="s">
        <v>293</v>
      </c>
      <c r="R46" s="140" t="s">
        <v>406</v>
      </c>
      <c r="S46" s="125"/>
      <c r="T46" s="996"/>
      <c r="U46" s="1462">
        <v>340</v>
      </c>
      <c r="V46" s="1456">
        <v>576</v>
      </c>
      <c r="W46" s="125"/>
      <c r="X46" s="285"/>
      <c r="Y46" s="289">
        <v>15</v>
      </c>
      <c r="Z46" s="294" t="s">
        <v>561</v>
      </c>
      <c r="AA46" s="294">
        <v>450</v>
      </c>
      <c r="AB46" s="294">
        <v>350</v>
      </c>
      <c r="AC46" s="294">
        <v>200</v>
      </c>
      <c r="AD46" s="1173">
        <v>150</v>
      </c>
      <c r="AE46" s="64"/>
      <c r="AF46" s="64"/>
      <c r="AG46" s="64"/>
      <c r="AH46" s="64"/>
      <c r="AI46" s="285"/>
      <c r="AJ46" s="289">
        <v>15</v>
      </c>
      <c r="AK46" s="294" t="s">
        <v>561</v>
      </c>
      <c r="AL46" s="294">
        <v>45</v>
      </c>
      <c r="AM46" s="294">
        <v>20</v>
      </c>
      <c r="AN46" s="294">
        <v>25</v>
      </c>
      <c r="AO46" s="1173">
        <v>10</v>
      </c>
      <c r="AP46" s="64"/>
      <c r="AQ46" s="64"/>
      <c r="AR46" s="64"/>
      <c r="AS46" s="64"/>
      <c r="AT46" s="64"/>
      <c r="AU46" s="64"/>
      <c r="AV46" s="64"/>
      <c r="AW46" s="64"/>
      <c r="AX46" s="64"/>
      <c r="AY46" s="64"/>
      <c r="AZ46" s="64"/>
      <c r="BA46" s="64"/>
      <c r="BB46" s="64"/>
      <c r="BC46" s="64"/>
      <c r="BD46" s="78"/>
    </row>
    <row r="47" spans="2:56" ht="18" customHeight="1" x14ac:dyDescent="0.2">
      <c r="B47" s="880">
        <v>1</v>
      </c>
      <c r="C47" s="890" t="s">
        <v>42</v>
      </c>
      <c r="D47" s="859">
        <f>IF(OR($C$15=60,C15=30),INDEX($Y$7:$AF$10,MATCH($F$13,$X$7:$X$10,0),MATCH($D$44,$Y$6:$AF$6,-1)),IF($F$15=90,INDEX($Y$15:$AF$18,MATCH($F$13,$X$15:$X$18,0),MATCH($D$44,$Y$14:$AF$14,-1)),IF($F$15=120,INDEX($AT$7:$BA$10,MATCH($F$13,$AS$7:$AS$10,0),MATCH($D$44,$AT$6:$BA$6,-1)))))</f>
        <v>200</v>
      </c>
      <c r="E47" s="891"/>
      <c r="F47" s="891">
        <f>VLOOKUP(D47,$AS$13:$AT$16,2,FALSE)</f>
        <v>303</v>
      </c>
      <c r="G47" s="892"/>
      <c r="H47" s="892">
        <f>INDEX($AJ$7:$AQ$10,MATCH($F$13,$AI$7:$AI$10,0),MATCH($D$44,$AJ$6:$AQ$6,-1))</f>
        <v>1.95</v>
      </c>
      <c r="I47" s="892"/>
      <c r="J47" s="892">
        <f>VLOOKUP(F47,$AT$12:$AV$16,3)</f>
        <v>144</v>
      </c>
      <c r="K47" s="892">
        <f>VLOOKUP(F47,$AT$12:$AW$16,4)</f>
        <v>3</v>
      </c>
      <c r="L47" s="892"/>
      <c r="M47" s="892"/>
      <c r="N47" s="892"/>
      <c r="O47" s="37"/>
      <c r="P47" s="37"/>
      <c r="Q47" s="1207">
        <f t="shared" ref="Q47:Q64" si="21">Q22</f>
        <v>0</v>
      </c>
      <c r="R47" s="117">
        <f>VLOOKUP(D47,$U$9:$V$14,2)</f>
        <v>447</v>
      </c>
      <c r="S47" s="125"/>
      <c r="T47" s="996"/>
      <c r="U47" s="1462">
        <v>390</v>
      </c>
      <c r="V47" s="1456">
        <v>648</v>
      </c>
      <c r="W47" s="125"/>
      <c r="X47" s="286"/>
      <c r="Y47" s="290">
        <v>20</v>
      </c>
      <c r="Z47" s="295" t="s">
        <v>561</v>
      </c>
      <c r="AA47" s="295" t="s">
        <v>561</v>
      </c>
      <c r="AB47" s="295" t="s">
        <v>561</v>
      </c>
      <c r="AC47" s="295" t="s">
        <v>561</v>
      </c>
      <c r="AD47" s="296" t="s">
        <v>561</v>
      </c>
      <c r="AE47" s="64"/>
      <c r="AF47" s="64"/>
      <c r="AG47" s="64"/>
      <c r="AH47" s="64"/>
      <c r="AI47" s="286"/>
      <c r="AJ47" s="290">
        <v>20</v>
      </c>
      <c r="AK47" s="295" t="s">
        <v>561</v>
      </c>
      <c r="AL47" s="295" t="s">
        <v>561</v>
      </c>
      <c r="AM47" s="295" t="s">
        <v>561</v>
      </c>
      <c r="AN47" s="295" t="s">
        <v>561</v>
      </c>
      <c r="AO47" s="296" t="s">
        <v>561</v>
      </c>
      <c r="AP47" s="64"/>
      <c r="AQ47" s="64"/>
      <c r="AR47" s="64"/>
      <c r="AS47" s="64"/>
      <c r="AT47" s="64"/>
      <c r="AU47" s="64"/>
      <c r="AV47" s="64"/>
      <c r="AW47" s="64"/>
      <c r="AX47" s="64"/>
      <c r="AY47" s="64"/>
      <c r="AZ47" s="64"/>
      <c r="BA47" s="64"/>
      <c r="BB47" s="64"/>
      <c r="BC47" s="64"/>
      <c r="BD47" s="78"/>
    </row>
    <row r="48" spans="2:56" ht="18" customHeight="1" x14ac:dyDescent="0.2">
      <c r="B48" s="128">
        <v>2</v>
      </c>
      <c r="C48" s="57" t="s">
        <v>618</v>
      </c>
      <c r="D48" s="859">
        <f>INDEX($Z$44:$AD$55,MATCH($F$13,$Y$44:$Y$55,0),MATCH($D$44,$Z$43:$AD$43,-1))</f>
        <v>200</v>
      </c>
      <c r="E48" s="859">
        <f>INDEX($AK$51:$AO$54,MATCH($F$13,$AJ$51:$AJ$54,0),MATCH($D$44,$AK$50:$AO$50,-1))</f>
        <v>500</v>
      </c>
      <c r="F48" s="859"/>
      <c r="G48" s="37">
        <f>INDEX($AK$44:$AO$47,MATCH($F$13,$AJ$44:$AJ$47,0),MATCH($D$44,$AK$43:$AO$43,-1))</f>
        <v>20</v>
      </c>
      <c r="H48" s="37"/>
      <c r="I48" s="37"/>
      <c r="J48" s="37"/>
      <c r="K48" s="37"/>
      <c r="L48" s="37"/>
      <c r="M48" s="37"/>
      <c r="N48" s="37"/>
      <c r="O48" s="37"/>
      <c r="P48" s="37"/>
      <c r="Q48" s="1075">
        <f t="shared" si="21"/>
        <v>0</v>
      </c>
      <c r="R48" s="117">
        <f>VLOOKUP(D48,$U$15:$V$19,2)</f>
        <v>480</v>
      </c>
      <c r="S48" s="125"/>
      <c r="T48" s="996"/>
      <c r="U48" s="1462">
        <v>450</v>
      </c>
      <c r="V48" s="1456">
        <v>744</v>
      </c>
      <c r="W48" s="125"/>
      <c r="X48" s="1193"/>
      <c r="AE48" s="57"/>
      <c r="AF48" s="64"/>
      <c r="AG48" s="64"/>
      <c r="AH48" s="64"/>
      <c r="AI48" s="57"/>
      <c r="AJ48" s="1172"/>
      <c r="AK48" s="57"/>
      <c r="AL48" s="141"/>
      <c r="AM48" s="141"/>
      <c r="AN48" s="141"/>
      <c r="AO48" s="141"/>
      <c r="AP48" s="64"/>
      <c r="AQ48" s="64"/>
      <c r="AR48" s="64"/>
      <c r="AS48" s="64"/>
      <c r="AT48" s="64"/>
      <c r="AU48" s="64"/>
      <c r="AV48" s="64"/>
      <c r="AW48" s="64"/>
      <c r="AX48" s="64"/>
      <c r="AY48" s="64"/>
      <c r="AZ48" s="64"/>
      <c r="BA48" s="64"/>
      <c r="BB48" s="64"/>
      <c r="BC48" s="64"/>
      <c r="BD48" s="78"/>
    </row>
    <row r="49" spans="2:58" ht="18" customHeight="1" x14ac:dyDescent="0.2">
      <c r="B49" s="128">
        <v>3</v>
      </c>
      <c r="C49" s="57" t="s">
        <v>437</v>
      </c>
      <c r="D49" s="859">
        <f>INDEX($AJ$23:$AN$26,MATCH($F$13,$AI$23:$AI$26,0),MATCH($D$44,$AJ$22:$AN$22,-1))</f>
        <v>390</v>
      </c>
      <c r="E49" s="37">
        <f>$Y$38</f>
        <v>116.41</v>
      </c>
      <c r="F49" s="859">
        <f>$Y$34</f>
        <v>168.00000000000003</v>
      </c>
      <c r="G49" s="37">
        <f>$Y$35</f>
        <v>1.97</v>
      </c>
      <c r="H49" s="37"/>
      <c r="I49" s="37">
        <f>INDEX($Y$29:$AC$32,MATCH($F$13,$X$29:$X$32,0),MATCH($D$44,$Y$28:$AC$28,-1))</f>
        <v>30.083333333333332</v>
      </c>
      <c r="J49" s="37"/>
      <c r="K49" s="37"/>
      <c r="L49" s="37"/>
      <c r="M49" s="37"/>
      <c r="N49" s="37"/>
      <c r="O49" s="37"/>
      <c r="P49" s="37">
        <f>$Y$37</f>
        <v>5.91</v>
      </c>
      <c r="Q49" s="1075">
        <f t="shared" si="21"/>
        <v>0</v>
      </c>
      <c r="R49" s="117">
        <f>VLOOKUP(D49,$U$20:$V$31,2)</f>
        <v>322.37333333333333</v>
      </c>
      <c r="S49" s="125"/>
      <c r="T49" s="222"/>
      <c r="U49" s="1478" t="s">
        <v>928</v>
      </c>
      <c r="V49" s="1481" t="s">
        <v>561</v>
      </c>
      <c r="W49" s="125"/>
      <c r="X49" s="138"/>
      <c r="Y49" s="64"/>
      <c r="Z49" s="64"/>
      <c r="AA49" s="64"/>
      <c r="AB49" s="64"/>
      <c r="AC49" s="64"/>
      <c r="AD49" s="64"/>
      <c r="AE49" s="64"/>
      <c r="AF49" s="64"/>
      <c r="AG49" s="64"/>
      <c r="AH49" s="64"/>
      <c r="AI49" s="229" t="s">
        <v>1075</v>
      </c>
      <c r="AJ49" s="288"/>
      <c r="AK49" s="291"/>
      <c r="AL49" s="257"/>
      <c r="AM49" s="257"/>
      <c r="AN49" s="257"/>
      <c r="AO49" s="258"/>
      <c r="AP49" s="64"/>
      <c r="AQ49" s="64"/>
      <c r="AR49" s="64"/>
      <c r="AS49" s="64"/>
      <c r="AT49" s="64"/>
      <c r="AU49" s="64"/>
      <c r="AV49" s="64"/>
      <c r="AW49" s="64"/>
      <c r="AX49" s="64"/>
      <c r="AY49" s="64"/>
      <c r="AZ49" s="64"/>
      <c r="BA49" s="64"/>
      <c r="BB49" s="64"/>
      <c r="BC49" s="64"/>
      <c r="BD49" s="78"/>
    </row>
    <row r="50" spans="2:58" ht="18" customHeight="1" x14ac:dyDescent="0.2">
      <c r="B50" s="128">
        <v>4</v>
      </c>
      <c r="C50" s="57" t="s">
        <v>121</v>
      </c>
      <c r="D50" s="859">
        <f>INDEX($Z$66:$AD$68,MATCH($F$13,$Y$66:$Y$68,0),MATCH($D$44,$Z$65:$AD$65,-1))</f>
        <v>293</v>
      </c>
      <c r="E50" s="859"/>
      <c r="F50" s="859"/>
      <c r="G50" s="37"/>
      <c r="H50" s="37"/>
      <c r="I50" s="37"/>
      <c r="J50" s="37"/>
      <c r="K50" s="37"/>
      <c r="L50" s="37">
        <f>VLOOKUP(D50,$AT$65:$AX$71,5)</f>
        <v>35.037399999999998</v>
      </c>
      <c r="M50" s="37">
        <f>$Z$70</f>
        <v>8.1</v>
      </c>
      <c r="N50" s="37"/>
      <c r="O50" s="37"/>
      <c r="P50" s="37"/>
      <c r="Q50" s="1075">
        <f t="shared" si="21"/>
        <v>0</v>
      </c>
      <c r="R50" s="117">
        <f>VLOOKUP(D50,$U$32:$V$38,2)</f>
        <v>35.037399999999998</v>
      </c>
      <c r="S50" s="125"/>
      <c r="T50" s="996" t="s">
        <v>845</v>
      </c>
      <c r="U50" s="1462">
        <v>190</v>
      </c>
      <c r="V50" s="1459">
        <f>U50*2.4</f>
        <v>456</v>
      </c>
      <c r="W50" s="125"/>
      <c r="X50" s="138"/>
      <c r="Y50" s="64"/>
      <c r="Z50" s="64"/>
      <c r="AA50" s="64"/>
      <c r="AB50" s="64"/>
      <c r="AC50" s="64"/>
      <c r="AD50" s="64"/>
      <c r="AE50" s="64"/>
      <c r="AF50" s="64"/>
      <c r="AG50" s="64"/>
      <c r="AH50" s="64"/>
      <c r="AI50" s="259" t="s">
        <v>67</v>
      </c>
      <c r="AJ50" s="289"/>
      <c r="AK50" s="260">
        <v>12.6</v>
      </c>
      <c r="AL50" s="292">
        <v>10.8</v>
      </c>
      <c r="AM50" s="292">
        <v>7.2</v>
      </c>
      <c r="AN50" s="292">
        <v>5.4</v>
      </c>
      <c r="AO50" s="293">
        <v>3.6</v>
      </c>
      <c r="AP50" s="64"/>
      <c r="AQ50" s="64"/>
      <c r="AR50" s="64"/>
      <c r="AS50" s="64"/>
      <c r="AT50" s="64"/>
      <c r="AU50" s="64"/>
      <c r="AV50" s="64"/>
      <c r="AW50" s="64"/>
      <c r="AX50" s="64"/>
      <c r="AY50" s="64"/>
      <c r="AZ50" s="64"/>
      <c r="BA50" s="64"/>
      <c r="BB50" s="64"/>
      <c r="BC50" s="64"/>
      <c r="BD50" s="78"/>
      <c r="BF50" s="120"/>
    </row>
    <row r="51" spans="2:58" ht="18" customHeight="1" x14ac:dyDescent="0.2">
      <c r="B51" s="128">
        <v>5</v>
      </c>
      <c r="C51" s="57" t="s">
        <v>45</v>
      </c>
      <c r="D51" s="859">
        <f>INDEX($Y$75:$AD$78,MATCH($F$13,$X$75:$X$78,0),MATCH($D$44,$Y$74:$AD$74,-1))</f>
        <v>330</v>
      </c>
      <c r="E51" s="859">
        <f>INDEX($Y$81:$AD$84,MATCH($F$13,$X$81:$X$84,0),MATCH($D$44,$Y$80:$AD$80,-1))</f>
        <v>426</v>
      </c>
      <c r="F51" s="859"/>
      <c r="G51" s="37"/>
      <c r="H51" s="37"/>
      <c r="I51" s="882"/>
      <c r="J51" s="37"/>
      <c r="K51" s="37"/>
      <c r="L51" s="37"/>
      <c r="M51" s="37"/>
      <c r="N51" s="37"/>
      <c r="O51" s="37"/>
      <c r="P51" s="37">
        <f>INDEX($AJ$81:$AO$84,MATCH($F$13,$AI$81:$AI$84,0),MATCH($D$44,$AJ$80:$AO$80,-1))</f>
        <v>19</v>
      </c>
      <c r="Q51" s="1075">
        <f t="shared" si="21"/>
        <v>0</v>
      </c>
      <c r="R51" s="117">
        <f>VLOOKUP(D51,$U$39:$V$43,2)</f>
        <v>426</v>
      </c>
      <c r="T51" s="996"/>
      <c r="U51" s="1462">
        <v>250</v>
      </c>
      <c r="V51" s="1459">
        <f>U51*2.4</f>
        <v>600</v>
      </c>
      <c r="X51" s="138"/>
      <c r="Y51" s="64"/>
      <c r="Z51" s="64"/>
      <c r="AA51" s="64"/>
      <c r="AB51" s="64"/>
      <c r="AC51" s="64"/>
      <c r="AD51" s="64"/>
      <c r="AE51" s="64"/>
      <c r="AF51" s="64"/>
      <c r="AG51" s="64"/>
      <c r="AH51" s="64"/>
      <c r="AI51" s="285"/>
      <c r="AJ51" s="289">
        <v>5</v>
      </c>
      <c r="AK51" s="294" t="str">
        <f t="shared" ref="AK51:AO54" si="22">IF(Z44="kan niet","kan niet",Z44*2500/1000)</f>
        <v>kan niet</v>
      </c>
      <c r="AL51" s="1174">
        <f t="shared" si="22"/>
        <v>1125</v>
      </c>
      <c r="AM51" s="1174">
        <f t="shared" si="22"/>
        <v>875</v>
      </c>
      <c r="AN51" s="1174">
        <f t="shared" si="22"/>
        <v>500</v>
      </c>
      <c r="AO51" s="1175">
        <f t="shared" si="22"/>
        <v>375</v>
      </c>
      <c r="AP51" s="57"/>
      <c r="AQ51" s="57"/>
      <c r="AR51" s="57"/>
      <c r="AS51" s="57"/>
      <c r="AT51" s="57"/>
      <c r="AU51" s="64"/>
      <c r="AV51" s="64"/>
      <c r="AW51" s="64"/>
      <c r="AX51" s="64"/>
      <c r="AY51" s="64"/>
      <c r="AZ51" s="64"/>
      <c r="BA51" s="64"/>
      <c r="BB51" s="64"/>
      <c r="BC51" s="64"/>
      <c r="BD51" s="78"/>
    </row>
    <row r="52" spans="2:58" ht="18" customHeight="1" x14ac:dyDescent="0.2">
      <c r="B52" s="128">
        <v>6</v>
      </c>
      <c r="C52" s="57" t="s">
        <v>1067</v>
      </c>
      <c r="D52" s="859">
        <f>INDEX($Y$89:$AD$92,MATCH($F$13,$X$89:$X$92,0),MATCH($D$44,$Y$88:$AD$88,-1))</f>
        <v>230</v>
      </c>
      <c r="E52" s="859">
        <f>INDEX($Y$101:$AD$104,MATCH($F$13,$X$101:$X$104,0),MATCH($D$44,$Y$100:$AD$100,-1))</f>
        <v>340</v>
      </c>
      <c r="F52" s="859">
        <f>INDEX($Y$95:$AD$98,MATCH($F$13,$X$95:$X$98,0),MATCH($D$44,$Y$94:$AD$94,-1))</f>
        <v>168</v>
      </c>
      <c r="G52" s="37">
        <f>INDEX($AJ$89:$AO$92,MATCH($F$13,$AI$89:$AI$92,0),MATCH($D$44,$AJ$88:$AO$88,-1))+INDEX($AJ$95:$AO$98,MATCH($F$13,$AI$95:$AI$98,0),MATCH($D$44,$AJ$94:$AO$94,-1))</f>
        <v>23</v>
      </c>
      <c r="H52" s="37"/>
      <c r="I52" s="37"/>
      <c r="J52" s="37"/>
      <c r="K52" s="882"/>
      <c r="L52" s="37"/>
      <c r="M52" s="37"/>
      <c r="N52" s="37">
        <f>INDEX($AJ$101:$AO$104,MATCH($F$13,$AI$101:$AI$104,0),MATCH($D$44,$AJ$100:$AO$100,-1))</f>
        <v>3.25</v>
      </c>
      <c r="O52" s="37"/>
      <c r="P52" s="37"/>
      <c r="Q52" s="1075">
        <f t="shared" si="21"/>
        <v>0</v>
      </c>
      <c r="R52" s="117">
        <f>VLOOKUP(D52,$U$44:$V$49,2)</f>
        <v>432</v>
      </c>
      <c r="T52" s="996"/>
      <c r="U52" s="1462">
        <v>330</v>
      </c>
      <c r="V52" s="1459">
        <f>U52*2.4</f>
        <v>792</v>
      </c>
      <c r="X52" s="138"/>
      <c r="Y52" s="64"/>
      <c r="Z52" s="64"/>
      <c r="AA52" s="64"/>
      <c r="AB52" s="64"/>
      <c r="AC52" s="64"/>
      <c r="AD52" s="64"/>
      <c r="AE52" s="64"/>
      <c r="AF52" s="64"/>
      <c r="AG52" s="64"/>
      <c r="AH52" s="64"/>
      <c r="AI52" s="285"/>
      <c r="AJ52" s="289">
        <v>10</v>
      </c>
      <c r="AK52" s="294" t="str">
        <f t="shared" si="22"/>
        <v>kan niet</v>
      </c>
      <c r="AL52" s="1174">
        <f t="shared" si="22"/>
        <v>1125</v>
      </c>
      <c r="AM52" s="1174">
        <f t="shared" si="22"/>
        <v>875</v>
      </c>
      <c r="AN52" s="1174">
        <f t="shared" si="22"/>
        <v>500</v>
      </c>
      <c r="AO52" s="1175">
        <f t="shared" si="22"/>
        <v>375</v>
      </c>
      <c r="AP52" s="165"/>
      <c r="AQ52" s="165"/>
      <c r="AR52" s="57"/>
      <c r="AS52" s="57"/>
      <c r="AT52" s="57"/>
      <c r="AU52" s="64"/>
      <c r="AV52" s="64"/>
      <c r="AW52" s="64"/>
      <c r="AX52" s="64"/>
      <c r="AY52" s="64"/>
      <c r="AZ52" s="64"/>
      <c r="BA52" s="64"/>
      <c r="BB52" s="64"/>
      <c r="BC52" s="64"/>
      <c r="BD52" s="78"/>
    </row>
    <row r="53" spans="2:58" ht="18" customHeight="1" x14ac:dyDescent="0.2">
      <c r="B53" s="128">
        <v>7</v>
      </c>
      <c r="C53" s="57" t="s">
        <v>845</v>
      </c>
      <c r="D53" s="859">
        <f>INDEX($AJ$121:$AO$124,MATCH($F$13,$AI$121:$AI$124,0),MATCH($D$44,$AJ$120:$AO$120,-1))</f>
        <v>190</v>
      </c>
      <c r="E53" s="859">
        <f>INDEX($AJ$115:$AO$118,MATCH($F$13,$AI$115:$AI$118,0),MATCH($D$44,$AJ$114:$AO$114,-1))</f>
        <v>10</v>
      </c>
      <c r="F53" s="859">
        <f>INDEX($Y$115:$AD$118,MATCH($F$13,$X$115:$X$118,0),MATCH($D$44,$Y$114:$AD$114,-1))</f>
        <v>375</v>
      </c>
      <c r="G53" s="37"/>
      <c r="H53" s="37">
        <f>INDEX($Y$121:$AD$124,MATCH($F$13,$X$121:$X$124,0),MATCH($D$44,$Y$120:$AD$120,-1))</f>
        <v>1.77</v>
      </c>
      <c r="I53" s="37"/>
      <c r="J53" s="37"/>
      <c r="K53" s="37"/>
      <c r="L53" s="37"/>
      <c r="M53" s="37"/>
      <c r="N53" s="37"/>
      <c r="O53" s="37"/>
      <c r="P53" s="37"/>
      <c r="Q53" s="1075">
        <f t="shared" si="21"/>
        <v>0</v>
      </c>
      <c r="R53" s="117">
        <f>VLOOKUP(D53,$U$50:$V$53,2)</f>
        <v>456</v>
      </c>
      <c r="S53" s="57"/>
      <c r="T53" s="996"/>
      <c r="U53" s="1462" t="s">
        <v>561</v>
      </c>
      <c r="V53" s="1482" t="s">
        <v>561</v>
      </c>
      <c r="W53" s="57"/>
      <c r="X53" s="138"/>
      <c r="Y53" s="64"/>
      <c r="Z53" s="64"/>
      <c r="AA53" s="64"/>
      <c r="AB53" s="64"/>
      <c r="AC53" s="64"/>
      <c r="AD53" s="64"/>
      <c r="AE53" s="64"/>
      <c r="AF53" s="64"/>
      <c r="AG53" s="64"/>
      <c r="AH53" s="64"/>
      <c r="AI53" s="285"/>
      <c r="AJ53" s="289">
        <v>15</v>
      </c>
      <c r="AK53" s="294" t="str">
        <f t="shared" si="22"/>
        <v>kan niet</v>
      </c>
      <c r="AL53" s="294">
        <f t="shared" si="22"/>
        <v>1125</v>
      </c>
      <c r="AM53" s="294">
        <f t="shared" si="22"/>
        <v>875</v>
      </c>
      <c r="AN53" s="294">
        <f t="shared" si="22"/>
        <v>500</v>
      </c>
      <c r="AO53" s="1173">
        <f t="shared" si="22"/>
        <v>375</v>
      </c>
      <c r="AP53" s="156"/>
      <c r="AQ53" s="156"/>
      <c r="AR53" s="57"/>
      <c r="AS53" s="57"/>
      <c r="AT53" s="57"/>
      <c r="AU53" s="64"/>
      <c r="AV53" s="64"/>
      <c r="AW53" s="64"/>
      <c r="AX53" s="64"/>
      <c r="AY53" s="64"/>
      <c r="AZ53" s="64"/>
      <c r="BA53" s="64"/>
      <c r="BB53" s="64"/>
      <c r="BC53" s="64"/>
      <c r="BD53" s="78"/>
    </row>
    <row r="54" spans="2:58" ht="18" customHeight="1" x14ac:dyDescent="0.2">
      <c r="B54" s="128">
        <v>8</v>
      </c>
      <c r="C54" s="57" t="s">
        <v>439</v>
      </c>
      <c r="D54" s="859">
        <f>INDEX($Y$129:$AD$132,MATCH($F$13,$X$129:$X$132,0),MATCH($D$44,$Y$128:$AD$128,-1))</f>
        <v>314</v>
      </c>
      <c r="E54" s="859">
        <f>INDEX($Y$135:$AD$138,MATCH($F$13,$X$135:$X$138,0),MATCH($D$44,$Y$134:$AD$134,-1))</f>
        <v>205.5</v>
      </c>
      <c r="F54" s="859"/>
      <c r="G54" s="37"/>
      <c r="H54" s="37"/>
      <c r="I54" s="37"/>
      <c r="J54" s="37"/>
      <c r="K54" s="37"/>
      <c r="L54" s="37"/>
      <c r="M54" s="37"/>
      <c r="N54" s="882"/>
      <c r="O54" s="37">
        <f>IF(D54&gt;0,$Y$143,0)</f>
        <v>3.4079999999999999</v>
      </c>
      <c r="P54" s="37">
        <f>INDEX($AJ$129:$AO$132,MATCH($F$13,$AI$129:$AI$132,0),MATCH($D$44,$AJ$128:$AO$128,-1))</f>
        <v>15.5</v>
      </c>
      <c r="Q54" s="1075">
        <f t="shared" si="21"/>
        <v>0</v>
      </c>
      <c r="R54" s="117">
        <f>VLOOKUP(D54,$U$54:$V$57,2)</f>
        <v>223.5</v>
      </c>
      <c r="S54" s="57"/>
      <c r="T54" s="1454" t="s">
        <v>439</v>
      </c>
      <c r="U54" s="1461">
        <v>254</v>
      </c>
      <c r="V54" s="1455">
        <v>197.6</v>
      </c>
      <c r="W54" s="57"/>
      <c r="X54" s="138"/>
      <c r="Y54" s="64"/>
      <c r="Z54" s="64"/>
      <c r="AA54" s="64"/>
      <c r="AB54" s="64"/>
      <c r="AC54" s="64"/>
      <c r="AD54" s="64"/>
      <c r="AE54" s="64"/>
      <c r="AF54" s="64"/>
      <c r="AG54" s="64"/>
      <c r="AH54" s="64"/>
      <c r="AI54" s="286"/>
      <c r="AJ54" s="290">
        <v>20</v>
      </c>
      <c r="AK54" s="295" t="str">
        <f t="shared" si="22"/>
        <v>kan niet</v>
      </c>
      <c r="AL54" s="295" t="str">
        <f t="shared" si="22"/>
        <v>kan niet</v>
      </c>
      <c r="AM54" s="295" t="str">
        <f t="shared" si="22"/>
        <v>kan niet</v>
      </c>
      <c r="AN54" s="295" t="str">
        <f t="shared" si="22"/>
        <v>kan niet</v>
      </c>
      <c r="AO54" s="296" t="str">
        <f t="shared" si="22"/>
        <v>kan niet</v>
      </c>
      <c r="AP54" s="156"/>
      <c r="AQ54" s="156"/>
      <c r="AR54" s="57"/>
      <c r="AS54" s="57"/>
      <c r="AT54" s="57"/>
      <c r="AU54" s="64"/>
      <c r="AV54" s="64"/>
      <c r="AW54" s="64"/>
      <c r="AX54" s="64"/>
      <c r="AY54" s="64"/>
      <c r="AZ54" s="64"/>
      <c r="BA54" s="64"/>
      <c r="BB54" s="64"/>
      <c r="BC54" s="64"/>
      <c r="BD54" s="78"/>
    </row>
    <row r="55" spans="2:58" ht="18" customHeight="1" thickBot="1" x14ac:dyDescent="0.25">
      <c r="B55" s="128">
        <v>9</v>
      </c>
      <c r="C55" s="57" t="s">
        <v>442</v>
      </c>
      <c r="D55" s="859">
        <f>INDEX($Y$150:$AD$153,MATCH($F$13,$X$150:$X$153,0),MATCH($D$44,$Y$149:$AD$149,-1))</f>
        <v>219</v>
      </c>
      <c r="E55" s="859"/>
      <c r="F55" s="859"/>
      <c r="G55" s="37"/>
      <c r="H55" s="37"/>
      <c r="I55" s="37"/>
      <c r="J55" s="37"/>
      <c r="K55" s="882"/>
      <c r="L55" s="37">
        <f>INDEX($AJ$150:$AO$153,MATCH($F$13,$AI$150:$AI$153,0),MATCH($D$44,$AJ$149:$AO$149,-1))</f>
        <v>110</v>
      </c>
      <c r="M55" s="37"/>
      <c r="N55" s="37"/>
      <c r="O55" s="37"/>
      <c r="P55" s="37"/>
      <c r="Q55" s="1075">
        <f t="shared" si="21"/>
        <v>0</v>
      </c>
      <c r="R55" s="117">
        <f>VLOOKUP(D55,$U$95:$V$101,2,0)</f>
        <v>110</v>
      </c>
      <c r="S55" s="57"/>
      <c r="T55" s="996"/>
      <c r="U55" s="1462">
        <v>284</v>
      </c>
      <c r="V55" s="1456">
        <v>210.6</v>
      </c>
      <c r="W55" s="57"/>
      <c r="X55" s="1180"/>
      <c r="Y55" s="57"/>
      <c r="Z55" s="57"/>
      <c r="AA55" s="57"/>
      <c r="AB55" s="57"/>
      <c r="AC55" s="57"/>
      <c r="AD55" s="57"/>
      <c r="AE55" s="57"/>
      <c r="AF55" s="64"/>
      <c r="AG55" s="64"/>
      <c r="AH55" s="64"/>
      <c r="AI55" s="52"/>
      <c r="AJ55" s="156"/>
      <c r="AK55" s="156"/>
      <c r="AL55" s="156"/>
      <c r="AM55" s="156"/>
      <c r="AN55" s="156"/>
      <c r="AO55" s="156"/>
      <c r="AP55" s="156"/>
      <c r="AQ55" s="156"/>
      <c r="AR55" s="57"/>
      <c r="AS55" s="57"/>
      <c r="AT55" s="57"/>
      <c r="AU55" s="64"/>
      <c r="AV55" s="64"/>
      <c r="AW55" s="64"/>
      <c r="AX55" s="64"/>
      <c r="AY55" s="64"/>
      <c r="AZ55" s="64"/>
      <c r="BA55" s="64"/>
      <c r="BB55" s="64"/>
      <c r="BC55" s="64"/>
      <c r="BD55" s="78"/>
    </row>
    <row r="56" spans="2:58" ht="18" customHeight="1" thickBot="1" x14ac:dyDescent="0.25">
      <c r="B56" s="128">
        <v>10</v>
      </c>
      <c r="C56" s="57" t="s">
        <v>440</v>
      </c>
      <c r="D56" s="859">
        <f>INDEX($Y$158:$AD$161,MATCH($F$13,$X$158:$X$161,0),MATCH($D$44,$Y$157:$AD$157,-1))</f>
        <v>320</v>
      </c>
      <c r="E56" s="859"/>
      <c r="F56" s="859"/>
      <c r="G56" s="37"/>
      <c r="H56" s="37"/>
      <c r="I56" s="37"/>
      <c r="J56" s="37"/>
      <c r="K56" s="37"/>
      <c r="L56" s="37">
        <f>INDEX($Y$164:$AD$167,MATCH($F$13,$X$164:$X$167,0),MATCH($D$44,$Y$163:$AD$163,-1))</f>
        <v>68</v>
      </c>
      <c r="M56" s="37"/>
      <c r="N56" s="37"/>
      <c r="O56" s="37"/>
      <c r="P56" s="37"/>
      <c r="Q56" s="1075">
        <f t="shared" si="21"/>
        <v>0</v>
      </c>
      <c r="R56" s="117">
        <f>VLOOKUP(D56,$U$58:$V$63,2,0)</f>
        <v>50</v>
      </c>
      <c r="S56" s="118"/>
      <c r="T56" s="996"/>
      <c r="U56" s="1462">
        <v>314</v>
      </c>
      <c r="V56" s="1456">
        <v>223.5</v>
      </c>
      <c r="W56" s="118"/>
      <c r="X56" s="254" t="s">
        <v>1068</v>
      </c>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6"/>
    </row>
    <row r="57" spans="2:58" ht="18" customHeight="1" x14ac:dyDescent="0.2">
      <c r="B57" s="128">
        <v>11</v>
      </c>
      <c r="C57" s="57" t="s">
        <v>44</v>
      </c>
      <c r="D57" s="859">
        <f>INDEX($Y$174:$AE$177,MATCH($F$13,$X$174:$X$177,0),MATCH($D$44,$Y$173:$AE$173,-1))</f>
        <v>200</v>
      </c>
      <c r="E57" s="859"/>
      <c r="F57" s="859">
        <f>INDEX($Y$180:$AE$183,MATCH($F$13,$X$180:$X$183,0),MATCH($D$44,$Y$179:$AE$179,-1))</f>
        <v>480</v>
      </c>
      <c r="G57" s="37"/>
      <c r="H57" s="37">
        <f>INDEX($AJ$174:$AP$177,MATCH($F$13,$AI$174:$AI$177,0),MATCH($D$44,$AJ$173:$AP$173,-1))</f>
        <v>2.21</v>
      </c>
      <c r="I57" s="37"/>
      <c r="J57" s="37"/>
      <c r="K57" s="37"/>
      <c r="L57" s="37"/>
      <c r="M57" s="37"/>
      <c r="N57" s="37"/>
      <c r="O57" s="37"/>
      <c r="P57" s="37"/>
      <c r="Q57" s="1075">
        <f t="shared" si="21"/>
        <v>0</v>
      </c>
      <c r="R57" s="117">
        <f>VLOOKUP(D57,$U$64:$V$67,2)</f>
        <v>382</v>
      </c>
      <c r="S57" s="121"/>
      <c r="T57" s="222"/>
      <c r="U57" s="1478" t="s">
        <v>561</v>
      </c>
      <c r="V57" s="1481" t="s">
        <v>561</v>
      </c>
      <c r="W57" s="121"/>
      <c r="X57" s="138"/>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78"/>
    </row>
    <row r="58" spans="2:58" ht="18" customHeight="1" x14ac:dyDescent="0.2">
      <c r="B58" s="128">
        <v>12</v>
      </c>
      <c r="C58" s="57" t="s">
        <v>43</v>
      </c>
      <c r="D58" s="859">
        <f>INDEX($Y$188:$AE$191,MATCH($F$13,$X$188:$X$191,0),MATCH($D$44,$Y$187:$AE$187,-1))</f>
        <v>200</v>
      </c>
      <c r="E58" s="859"/>
      <c r="F58" s="859">
        <f>INDEX($Y$194:$AE$197,MATCH($F$13,$X$194:$X$197,0),MATCH($D$44,$Y$193:$AE$193,-1))</f>
        <v>480</v>
      </c>
      <c r="G58" s="37"/>
      <c r="H58" s="37">
        <f>INDEX($AJ$188:$AP$191,MATCH($F$13,$AI$188:$AI$191,0),MATCH($D$44,$AJ$187:$AP$187,-1))</f>
        <v>2.21</v>
      </c>
      <c r="I58" s="37"/>
      <c r="J58" s="37"/>
      <c r="K58" s="37"/>
      <c r="L58" s="37"/>
      <c r="M58" s="37"/>
      <c r="N58" s="37"/>
      <c r="O58" s="37"/>
      <c r="P58" s="37"/>
      <c r="Q58" s="1075">
        <f t="shared" si="21"/>
        <v>0</v>
      </c>
      <c r="R58" s="117">
        <f>VLOOKUP(D58,$U$68:$V$71,2)</f>
        <v>382</v>
      </c>
      <c r="S58" s="118"/>
      <c r="T58" s="996" t="s">
        <v>440</v>
      </c>
      <c r="U58" s="1462">
        <f t="shared" ref="U58:U61" si="23">AH158</f>
        <v>160</v>
      </c>
      <c r="V58" s="1456">
        <v>50</v>
      </c>
      <c r="W58" s="118"/>
      <c r="X58" s="229" t="s">
        <v>1068</v>
      </c>
      <c r="Y58" s="258"/>
      <c r="Z58" s="291"/>
      <c r="AA58" s="257"/>
      <c r="AB58" s="257"/>
      <c r="AC58" s="257"/>
      <c r="AD58" s="258"/>
      <c r="AE58" s="64"/>
      <c r="AF58" s="64"/>
      <c r="AG58" s="64"/>
      <c r="AH58" s="64"/>
      <c r="AI58" s="229" t="s">
        <v>1068</v>
      </c>
      <c r="AJ58" s="258"/>
      <c r="AK58" s="291"/>
      <c r="AL58" s="257"/>
      <c r="AM58" s="257"/>
      <c r="AN58" s="257"/>
      <c r="AO58" s="258"/>
      <c r="AP58" s="64"/>
      <c r="AQ58" s="64"/>
      <c r="AR58" s="64"/>
      <c r="AS58" s="64"/>
      <c r="AT58" s="64"/>
      <c r="AU58" s="64"/>
      <c r="AV58" s="64"/>
      <c r="AW58" s="64"/>
      <c r="AX58" s="64"/>
      <c r="AY58" s="64"/>
      <c r="AZ58" s="64"/>
      <c r="BA58" s="64"/>
      <c r="BB58" s="64"/>
      <c r="BC58" s="64"/>
      <c r="BD58" s="78"/>
    </row>
    <row r="59" spans="2:58" ht="18" customHeight="1" x14ac:dyDescent="0.2">
      <c r="B59" s="128">
        <v>13</v>
      </c>
      <c r="C59" s="57" t="s">
        <v>47</v>
      </c>
      <c r="D59" s="859">
        <f>INDEX($Y$202:$AE$205,MATCH($F$13,$X$202:$X$205,0),MATCH($D$44,$Y$201:$AE$201,-1))</f>
        <v>260</v>
      </c>
      <c r="E59" s="859"/>
      <c r="F59" s="859">
        <f>INDEX($X$208:$AE$211,MATCH($F$13,$X$208:$X$211,0),MATCH($D$44,$Y$207:$AE$207,-1))</f>
        <v>505</v>
      </c>
      <c r="G59" s="37"/>
      <c r="H59" s="37">
        <f>INDEX($AJ$202:$AO$205,MATCH($F$13,$AI$202:$AI$205,0),MATCH($D$44,$AJ$201:$AO$201,-1))</f>
        <v>2.21</v>
      </c>
      <c r="I59" s="37"/>
      <c r="J59" s="37"/>
      <c r="K59" s="37"/>
      <c r="L59" s="37"/>
      <c r="M59" s="37"/>
      <c r="N59" s="37"/>
      <c r="O59" s="37"/>
      <c r="P59" s="37"/>
      <c r="Q59" s="1075">
        <f t="shared" si="21"/>
        <v>0</v>
      </c>
      <c r="R59" s="117">
        <f>VLOOKUP(D59,$U$72:$V$76,2)</f>
        <v>501</v>
      </c>
      <c r="S59" s="141"/>
      <c r="T59" s="996"/>
      <c r="U59" s="1462">
        <f t="shared" si="23"/>
        <v>200</v>
      </c>
      <c r="V59" s="1456">
        <v>50</v>
      </c>
      <c r="W59" s="141"/>
      <c r="X59" s="259" t="s">
        <v>67</v>
      </c>
      <c r="Y59" s="297"/>
      <c r="Z59" s="260">
        <v>12.6</v>
      </c>
      <c r="AA59" s="292">
        <v>10.8</v>
      </c>
      <c r="AB59" s="292">
        <v>7.2</v>
      </c>
      <c r="AC59" s="292">
        <v>5.4</v>
      </c>
      <c r="AD59" s="293">
        <v>3.6</v>
      </c>
      <c r="AE59" s="64"/>
      <c r="AF59" s="64"/>
      <c r="AG59" s="64"/>
      <c r="AH59" s="64"/>
      <c r="AI59" s="259" t="s">
        <v>859</v>
      </c>
      <c r="AJ59" s="297"/>
      <c r="AK59" s="260">
        <v>12.6</v>
      </c>
      <c r="AL59" s="292">
        <v>10.8</v>
      </c>
      <c r="AM59" s="292">
        <v>7.2</v>
      </c>
      <c r="AN59" s="292">
        <v>5.4</v>
      </c>
      <c r="AO59" s="293">
        <v>3.6</v>
      </c>
      <c r="AP59" s="64"/>
      <c r="AQ59" s="64"/>
      <c r="AR59" s="64"/>
      <c r="AS59" s="64"/>
      <c r="AT59" s="64"/>
      <c r="AU59" s="64"/>
      <c r="AV59" s="64"/>
      <c r="AW59" s="64"/>
      <c r="AX59" s="64"/>
      <c r="AY59" s="64"/>
      <c r="AZ59" s="64"/>
      <c r="BA59" s="64"/>
      <c r="BB59" s="64"/>
      <c r="BC59" s="64"/>
      <c r="BD59" s="78"/>
    </row>
    <row r="60" spans="2:58" ht="18" customHeight="1" x14ac:dyDescent="0.2">
      <c r="B60" s="128">
        <v>14</v>
      </c>
      <c r="C60" s="57" t="s">
        <v>441</v>
      </c>
      <c r="D60" s="859">
        <f>INDEX($Y$216:$AD$219,MATCH($F$13,$X$216:$X$219,0),MATCH($D$44,$Y$215:$AD$215,-1))</f>
        <v>700</v>
      </c>
      <c r="E60" s="859"/>
      <c r="F60" s="859">
        <f>INDEX($Y$222:$AD$225,MATCH($F$13,$X$222:$X$225,0),MATCH($D$44,$Y$221:$AD$221,-1))</f>
        <v>624</v>
      </c>
      <c r="G60" s="37">
        <f>INDEX($AJ$216:$AO$219,MATCH($F$13,$AI$216:$AI$219,0),MATCH($D$44,$AJ$215:$AO$215,-1))</f>
        <v>35</v>
      </c>
      <c r="H60" s="37"/>
      <c r="I60" s="37"/>
      <c r="J60" s="37"/>
      <c r="K60" s="37"/>
      <c r="L60" s="37"/>
      <c r="M60" s="37"/>
      <c r="N60" s="37"/>
      <c r="O60" s="882"/>
      <c r="P60" s="37"/>
      <c r="Q60" s="1075">
        <f t="shared" si="21"/>
        <v>0</v>
      </c>
      <c r="R60" s="117">
        <f>VLOOKUP(D60,$U$77:$V$78,2)</f>
        <v>624</v>
      </c>
      <c r="S60" s="141"/>
      <c r="T60" s="996"/>
      <c r="U60" s="1462">
        <f t="shared" si="23"/>
        <v>280</v>
      </c>
      <c r="V60" s="1456">
        <v>50</v>
      </c>
      <c r="W60" s="141"/>
      <c r="X60" s="285"/>
      <c r="Y60" s="284">
        <v>5</v>
      </c>
      <c r="Z60" s="689" t="s">
        <v>561</v>
      </c>
      <c r="AA60" s="130" t="s">
        <v>561</v>
      </c>
      <c r="AB60" s="130" t="s">
        <v>561</v>
      </c>
      <c r="AC60" s="143">
        <v>38.425199999999997</v>
      </c>
      <c r="AD60" s="298">
        <v>14.660800000000002</v>
      </c>
      <c r="AE60" s="64"/>
      <c r="AF60" s="64"/>
      <c r="AG60" s="64"/>
      <c r="AH60" s="64"/>
      <c r="AI60" s="285"/>
      <c r="AJ60" s="284">
        <v>5</v>
      </c>
      <c r="AK60" s="130" t="s">
        <v>561</v>
      </c>
      <c r="AL60" s="130" t="s">
        <v>561</v>
      </c>
      <c r="AM60" s="130" t="s">
        <v>561</v>
      </c>
      <c r="AN60" s="64">
        <v>246</v>
      </c>
      <c r="AO60" s="78">
        <v>196</v>
      </c>
      <c r="AP60" s="64"/>
      <c r="AQ60" s="64"/>
      <c r="AR60" s="64"/>
      <c r="AS60" s="64"/>
      <c r="AT60" s="64"/>
      <c r="AU60" s="64"/>
      <c r="AV60" s="64"/>
      <c r="AW60" s="64"/>
      <c r="AX60" s="64"/>
      <c r="AY60" s="64"/>
      <c r="AZ60" s="64"/>
      <c r="BA60" s="64"/>
      <c r="BB60" s="64"/>
      <c r="BC60" s="64"/>
      <c r="BD60" s="78"/>
    </row>
    <row r="61" spans="2:58" ht="18" customHeight="1" x14ac:dyDescent="0.2">
      <c r="B61" s="128">
        <v>15</v>
      </c>
      <c r="C61" s="57" t="s">
        <v>39</v>
      </c>
      <c r="D61" s="859">
        <f>INDEX($Y$233:$AD$236,MATCH($F$13,$X$233:$X$236,0),MATCH($D$44,$Y$231:$AD$231,-1))</f>
        <v>300</v>
      </c>
      <c r="E61" s="859">
        <f>INDEX($Y$246:$AD$250,MATCH($F$13,$X$246:$X$250,0),MATCH($D$44,$Y$245:$AD$245,-1))</f>
        <v>576</v>
      </c>
      <c r="F61" s="859">
        <f>INDEX($Y$239:$AD$243,MATCH($F$13,$X$239:$X$243,0),MATCH($D$44,$Y$238:$AD$238,-1))</f>
        <v>120</v>
      </c>
      <c r="G61" s="37">
        <f>INDEX($AJ$232:$AO$236,MATCH($F$13,$AI$232:$AI$236,0),MATCH($D$44,$AJ$231:$AO$231,-1))</f>
        <v>27</v>
      </c>
      <c r="H61" s="37"/>
      <c r="I61" s="37"/>
      <c r="J61" s="37"/>
      <c r="K61" s="37"/>
      <c r="L61" s="37"/>
      <c r="M61" s="37"/>
      <c r="N61" s="37"/>
      <c r="O61" s="37"/>
      <c r="P61" s="37"/>
      <c r="Q61" s="1075">
        <f t="shared" si="21"/>
        <v>0</v>
      </c>
      <c r="R61" s="117">
        <f>VLOOKUP(D61,$U$79:$V$87,2)</f>
        <v>624</v>
      </c>
      <c r="S61" s="141"/>
      <c r="T61" s="996"/>
      <c r="U61" s="1462">
        <f t="shared" si="23"/>
        <v>320</v>
      </c>
      <c r="V61" s="1456">
        <v>50</v>
      </c>
      <c r="W61" s="141"/>
      <c r="X61" s="285"/>
      <c r="Y61" s="284">
        <v>10</v>
      </c>
      <c r="Z61" s="689" t="s">
        <v>561</v>
      </c>
      <c r="AA61" s="130" t="s">
        <v>561</v>
      </c>
      <c r="AB61" s="130" t="s">
        <v>561</v>
      </c>
      <c r="AC61" s="143">
        <v>42.330200000000005</v>
      </c>
      <c r="AD61" s="298">
        <v>24.657285714285713</v>
      </c>
      <c r="AE61" s="64"/>
      <c r="AF61" s="64"/>
      <c r="AG61" s="64"/>
      <c r="AH61" s="64"/>
      <c r="AI61" s="285"/>
      <c r="AJ61" s="284">
        <v>10</v>
      </c>
      <c r="AK61" s="130" t="s">
        <v>561</v>
      </c>
      <c r="AL61" s="130" t="s">
        <v>561</v>
      </c>
      <c r="AM61" s="130" t="s">
        <v>561</v>
      </c>
      <c r="AN61" s="64">
        <v>271</v>
      </c>
      <c r="AO61" s="78">
        <v>221</v>
      </c>
      <c r="AP61" s="64"/>
      <c r="AQ61" s="64"/>
      <c r="AR61" s="64"/>
      <c r="AS61" s="64"/>
      <c r="AT61" s="64"/>
      <c r="AU61" s="64"/>
      <c r="AV61" s="64"/>
      <c r="AW61" s="64"/>
      <c r="AX61" s="64"/>
      <c r="AY61" s="64"/>
      <c r="AZ61" s="64"/>
      <c r="BA61" s="64"/>
      <c r="BB61" s="64"/>
      <c r="BC61" s="64"/>
      <c r="BD61" s="78"/>
    </row>
    <row r="62" spans="2:58" ht="18" customHeight="1" x14ac:dyDescent="0.2">
      <c r="B62" s="128">
        <v>16</v>
      </c>
      <c r="C62" s="172" t="s">
        <v>200</v>
      </c>
      <c r="D62" s="859">
        <f>INDEX($Y$282:$AD$285,MATCH($I$13,$X$282:$X$285,0),MATCH($D$44,$Y$281:$AD$281,-1))</f>
        <v>453</v>
      </c>
      <c r="E62" s="859"/>
      <c r="F62" s="859"/>
      <c r="G62" s="37"/>
      <c r="H62" s="882"/>
      <c r="I62" s="882"/>
      <c r="J62" s="882"/>
      <c r="K62" s="882"/>
      <c r="L62" s="882"/>
      <c r="M62" s="882"/>
      <c r="N62" s="37"/>
      <c r="O62" s="37"/>
      <c r="P62" s="37"/>
      <c r="Q62" s="1075">
        <f t="shared" si="21"/>
        <v>0</v>
      </c>
      <c r="R62" s="142">
        <f>VLOOKUP(D62,$U$106:$V$109,2,0)</f>
        <v>4.8499999999999996</v>
      </c>
      <c r="S62" s="141"/>
      <c r="T62" s="1736"/>
      <c r="U62" s="1737">
        <v>440</v>
      </c>
      <c r="V62" s="1738">
        <v>50</v>
      </c>
      <c r="W62" s="141"/>
      <c r="X62" s="286"/>
      <c r="Y62" s="293">
        <v>15</v>
      </c>
      <c r="Z62" s="690" t="s">
        <v>561</v>
      </c>
      <c r="AA62" s="691" t="s">
        <v>561</v>
      </c>
      <c r="AB62" s="691" t="s">
        <v>561</v>
      </c>
      <c r="AC62" s="299">
        <v>56.71875</v>
      </c>
      <c r="AD62" s="300">
        <v>34.520200000000003</v>
      </c>
      <c r="AE62" s="64"/>
      <c r="AF62" s="64"/>
      <c r="AG62" s="64"/>
      <c r="AH62" s="64"/>
      <c r="AI62" s="286"/>
      <c r="AJ62" s="293">
        <v>15</v>
      </c>
      <c r="AK62" s="691" t="s">
        <v>561</v>
      </c>
      <c r="AL62" s="691" t="s">
        <v>561</v>
      </c>
      <c r="AM62" s="691" t="s">
        <v>561</v>
      </c>
      <c r="AN62" s="76">
        <v>275</v>
      </c>
      <c r="AO62" s="69">
        <v>221</v>
      </c>
      <c r="AP62" s="64"/>
      <c r="AQ62" s="64"/>
      <c r="AR62" s="64"/>
      <c r="AS62" s="64"/>
      <c r="AT62" s="64"/>
      <c r="AU62" s="64"/>
      <c r="AV62" s="64"/>
      <c r="AW62" s="64"/>
      <c r="AX62" s="64"/>
      <c r="AY62" s="64"/>
      <c r="AZ62" s="64"/>
      <c r="BA62" s="64"/>
      <c r="BB62" s="64"/>
      <c r="BC62" s="64"/>
      <c r="BD62" s="78"/>
    </row>
    <row r="63" spans="2:58" ht="18" customHeight="1" x14ac:dyDescent="0.2">
      <c r="B63" s="128">
        <v>17</v>
      </c>
      <c r="C63" s="57" t="s">
        <v>418</v>
      </c>
      <c r="D63" s="859">
        <f>INDEX($Y$274:$AD$277,MATCH($I$13,$X$274:$X$277,0),MATCH($D$44,$Y$273:$AD$273,-1))</f>
        <v>110</v>
      </c>
      <c r="E63" s="859"/>
      <c r="F63" s="859"/>
      <c r="G63" s="37"/>
      <c r="H63" s="882"/>
      <c r="I63" s="882"/>
      <c r="J63" s="882"/>
      <c r="K63" s="882"/>
      <c r="L63" s="882"/>
      <c r="M63" s="882"/>
      <c r="N63" s="37"/>
      <c r="O63" s="37"/>
      <c r="P63" s="37"/>
      <c r="Q63" s="1075">
        <f t="shared" si="21"/>
        <v>0</v>
      </c>
      <c r="R63" s="142">
        <f>VLOOKUP(D63,$U$102:$V$105,2,0)</f>
        <v>17.7</v>
      </c>
      <c r="S63" s="141"/>
      <c r="T63" s="222"/>
      <c r="U63" s="1478" t="str">
        <f>AH162</f>
        <v>kan niet</v>
      </c>
      <c r="V63" s="1481" t="str">
        <f>AI162</f>
        <v>kan niet</v>
      </c>
      <c r="W63" s="141"/>
      <c r="X63" s="138"/>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78"/>
    </row>
    <row r="64" spans="2:58" ht="18" customHeight="1" x14ac:dyDescent="0.2">
      <c r="B64" s="128">
        <v>18</v>
      </c>
      <c r="C64" s="57" t="s">
        <v>486</v>
      </c>
      <c r="D64" s="859">
        <f>INDEX($Y$260:$AD$263,MATCH($F$13,$X$260:$X$263,0),MATCH($D$44,$Y$259:$AD$259,-1))</f>
        <v>330</v>
      </c>
      <c r="E64" s="859"/>
      <c r="F64" s="859">
        <f>INDEX($Y$266:$AD$269,MATCH($F$13,$X$266:$X$269,0),MATCH($D$44,$Y$265:$AD$265,-1))</f>
        <v>297</v>
      </c>
      <c r="G64" s="37">
        <f>INDEX($AJ$260:$AO$263,MATCH($F$13,$AI$260:$AI$263,0),MATCH($D$44,$AJ$259:$AO$259,-1))</f>
        <v>0</v>
      </c>
      <c r="H64" s="882"/>
      <c r="I64" s="882"/>
      <c r="J64" s="882"/>
      <c r="K64" s="882"/>
      <c r="L64" s="882"/>
      <c r="M64" s="882"/>
      <c r="N64" s="37"/>
      <c r="O64" s="37"/>
      <c r="P64" s="37"/>
      <c r="Q64" s="1075">
        <f t="shared" si="21"/>
        <v>0</v>
      </c>
      <c r="R64" s="117">
        <f>VLOOKUP(D64,$U$88:$V$94,2)</f>
        <v>297</v>
      </c>
      <c r="S64" s="141"/>
      <c r="T64" s="1454" t="s">
        <v>44</v>
      </c>
      <c r="U64" s="1461">
        <v>200</v>
      </c>
      <c r="V64" s="1455">
        <v>382</v>
      </c>
      <c r="W64" s="141"/>
      <c r="X64" s="229" t="s">
        <v>1068</v>
      </c>
      <c r="Y64" s="258"/>
      <c r="Z64" s="291"/>
      <c r="AA64" s="257"/>
      <c r="AB64" s="257"/>
      <c r="AC64" s="257"/>
      <c r="AD64" s="258"/>
      <c r="AE64" s="64"/>
      <c r="AF64" s="64"/>
      <c r="AG64" s="64"/>
      <c r="AH64" s="64"/>
      <c r="AI64" s="229" t="s">
        <v>1068</v>
      </c>
      <c r="AJ64" s="258"/>
      <c r="AK64" s="291"/>
      <c r="AL64" s="257"/>
      <c r="AM64" s="257"/>
      <c r="AN64" s="257"/>
      <c r="AO64" s="258"/>
      <c r="AP64" s="64"/>
      <c r="AQ64" s="64"/>
      <c r="AR64" s="219" t="s">
        <v>380</v>
      </c>
      <c r="AS64" s="219" t="s">
        <v>926</v>
      </c>
      <c r="AT64" s="219" t="s">
        <v>927</v>
      </c>
      <c r="AU64" s="219" t="s">
        <v>228</v>
      </c>
      <c r="AV64" s="219" t="s">
        <v>1220</v>
      </c>
      <c r="AW64" s="219" t="s">
        <v>137</v>
      </c>
      <c r="AX64" s="52" t="s">
        <v>67</v>
      </c>
      <c r="AY64" s="64"/>
      <c r="AZ64" s="64"/>
      <c r="BA64" s="64"/>
      <c r="BB64" s="64"/>
      <c r="BC64" s="64"/>
      <c r="BD64" s="78"/>
    </row>
    <row r="65" spans="2:56" ht="18" customHeight="1" thickBot="1" x14ac:dyDescent="0.25">
      <c r="B65" s="884"/>
      <c r="C65" s="1227"/>
      <c r="D65" s="1227"/>
      <c r="E65" s="1227"/>
      <c r="F65" s="1227"/>
      <c r="G65" s="1227"/>
      <c r="H65" s="1227"/>
      <c r="I65" s="1227"/>
      <c r="J65" s="1227"/>
      <c r="K65" s="1227"/>
      <c r="L65" s="1227"/>
      <c r="M65" s="1227"/>
      <c r="N65" s="1227"/>
      <c r="O65" s="1227"/>
      <c r="P65" s="1227"/>
      <c r="Q65" s="1229"/>
      <c r="R65" s="1228"/>
      <c r="S65" s="141"/>
      <c r="T65" s="996"/>
      <c r="U65" s="1462">
        <v>260</v>
      </c>
      <c r="V65" s="1456">
        <v>505</v>
      </c>
      <c r="W65" s="141"/>
      <c r="X65" s="259" t="s">
        <v>925</v>
      </c>
      <c r="Y65" s="297"/>
      <c r="Z65" s="259">
        <v>12.6</v>
      </c>
      <c r="AA65" s="1432">
        <v>10.8</v>
      </c>
      <c r="AB65" s="1432">
        <v>7.2</v>
      </c>
      <c r="AC65" s="1432">
        <v>5.4</v>
      </c>
      <c r="AD65" s="284">
        <v>3.6</v>
      </c>
      <c r="AE65" s="64"/>
      <c r="AF65" s="64"/>
      <c r="AG65" s="64"/>
      <c r="AH65" s="64"/>
      <c r="AI65" s="259" t="s">
        <v>205</v>
      </c>
      <c r="AJ65" s="297"/>
      <c r="AK65" s="260">
        <v>12.6</v>
      </c>
      <c r="AL65" s="292">
        <v>10.8</v>
      </c>
      <c r="AM65" s="292">
        <v>7.2</v>
      </c>
      <c r="AN65" s="292">
        <v>5.4</v>
      </c>
      <c r="AO65" s="293">
        <v>3.6</v>
      </c>
      <c r="AP65" s="64"/>
      <c r="AQ65" s="64"/>
      <c r="AR65" s="64">
        <v>250</v>
      </c>
      <c r="AS65" s="64">
        <v>196</v>
      </c>
      <c r="AT65" s="64">
        <f>AS65+22</f>
        <v>218</v>
      </c>
      <c r="AU65" s="64" t="s">
        <v>115</v>
      </c>
      <c r="AV65" s="64">
        <f>0.196*0.034*4</f>
        <v>2.6656000000000003E-2</v>
      </c>
      <c r="AW65" s="64">
        <v>350</v>
      </c>
      <c r="AX65" s="319">
        <f t="shared" ref="AX65:AX70" si="24">(AV65*AW65)+$Z$70</f>
        <v>17.429600000000001</v>
      </c>
      <c r="AY65" s="64"/>
      <c r="AZ65" s="64"/>
      <c r="BA65" s="64"/>
      <c r="BB65" s="64"/>
      <c r="BC65" s="64"/>
      <c r="BD65" s="78"/>
    </row>
    <row r="66" spans="2:56" ht="18" customHeight="1" thickBot="1" x14ac:dyDescent="0.25">
      <c r="Q66" s="1073"/>
      <c r="S66" s="141"/>
      <c r="T66" s="996"/>
      <c r="U66" s="1462">
        <v>320</v>
      </c>
      <c r="V66" s="1456">
        <v>705</v>
      </c>
      <c r="W66" s="141"/>
      <c r="X66" s="285"/>
      <c r="Y66" s="1432">
        <v>5</v>
      </c>
      <c r="Z66" s="1430" t="str">
        <f t="shared" ref="Z66:AC68" si="25">IF(AK60="kan niet","kan niet",AK60+22)</f>
        <v>kan niet</v>
      </c>
      <c r="AA66" s="1431" t="str">
        <f t="shared" si="25"/>
        <v>kan niet</v>
      </c>
      <c r="AB66" s="1431" t="str">
        <f t="shared" si="25"/>
        <v>kan niet</v>
      </c>
      <c r="AC66" s="1212">
        <f t="shared" si="25"/>
        <v>268</v>
      </c>
      <c r="AD66" s="1213">
        <f>IF(AO60="kan niet","kan niet",AO60+22)</f>
        <v>218</v>
      </c>
      <c r="AE66" s="64"/>
      <c r="AF66" s="64"/>
      <c r="AG66" s="64"/>
      <c r="AH66" s="64"/>
      <c r="AI66" s="285"/>
      <c r="AJ66" s="284">
        <v>5</v>
      </c>
      <c r="AK66" s="130" t="s">
        <v>561</v>
      </c>
      <c r="AL66" s="130" t="s">
        <v>561</v>
      </c>
      <c r="AM66" s="130" t="s">
        <v>561</v>
      </c>
      <c r="AN66" s="64" t="s">
        <v>118</v>
      </c>
      <c r="AO66" s="78" t="s">
        <v>115</v>
      </c>
      <c r="AP66" s="64"/>
      <c r="AQ66" s="64"/>
      <c r="AR66" s="64">
        <v>350</v>
      </c>
      <c r="AS66" s="64">
        <v>221</v>
      </c>
      <c r="AT66" s="64">
        <f t="shared" ref="AT66:AT70" si="26">AS66+22</f>
        <v>243</v>
      </c>
      <c r="AU66" s="64" t="s">
        <v>116</v>
      </c>
      <c r="AV66" s="64">
        <f>0.221*0.071*2.86</f>
        <v>4.4876260000000001E-2</v>
      </c>
      <c r="AW66" s="64">
        <v>350</v>
      </c>
      <c r="AX66" s="319">
        <f t="shared" si="24"/>
        <v>23.806691000000001</v>
      </c>
      <c r="AY66" s="64"/>
      <c r="AZ66" s="64"/>
      <c r="BA66" s="64"/>
      <c r="BB66" s="64"/>
      <c r="BC66" s="64"/>
      <c r="BD66" s="78"/>
    </row>
    <row r="67" spans="2:56" ht="18" customHeight="1" thickBot="1" x14ac:dyDescent="0.25">
      <c r="B67" s="167" t="s">
        <v>214</v>
      </c>
      <c r="C67" s="54"/>
      <c r="D67" s="54"/>
      <c r="E67" s="55"/>
      <c r="F67" s="55"/>
      <c r="G67" s="55"/>
      <c r="H67" s="55"/>
      <c r="I67" s="55"/>
      <c r="J67" s="55"/>
      <c r="K67" s="55"/>
      <c r="L67" s="55"/>
      <c r="M67" s="55"/>
      <c r="N67" s="55"/>
      <c r="O67" s="55"/>
      <c r="P67" s="55"/>
      <c r="Q67" s="1074"/>
      <c r="R67" s="56"/>
      <c r="S67" s="141"/>
      <c r="T67" s="222"/>
      <c r="U67" s="1478" t="s">
        <v>561</v>
      </c>
      <c r="V67" s="1481" t="s">
        <v>561</v>
      </c>
      <c r="W67" s="141"/>
      <c r="X67" s="285"/>
      <c r="Y67" s="1432">
        <v>10</v>
      </c>
      <c r="Z67" s="689" t="str">
        <f t="shared" si="25"/>
        <v>kan niet</v>
      </c>
      <c r="AA67" s="130" t="str">
        <f t="shared" si="25"/>
        <v>kan niet</v>
      </c>
      <c r="AB67" s="130" t="str">
        <f t="shared" si="25"/>
        <v>kan niet</v>
      </c>
      <c r="AC67" s="64">
        <f t="shared" si="25"/>
        <v>293</v>
      </c>
      <c r="AD67" s="78">
        <f t="shared" ref="AD67:AD68" si="27">IF(AO61="kan niet","kan niet",AO61+22)</f>
        <v>243</v>
      </c>
      <c r="AE67" s="64"/>
      <c r="AF67" s="64"/>
      <c r="AG67" s="64"/>
      <c r="AH67" s="64"/>
      <c r="AI67" s="285"/>
      <c r="AJ67" s="284">
        <v>10</v>
      </c>
      <c r="AK67" s="130" t="s">
        <v>561</v>
      </c>
      <c r="AL67" s="130" t="s">
        <v>561</v>
      </c>
      <c r="AM67" s="130" t="s">
        <v>561</v>
      </c>
      <c r="AN67" s="64" t="s">
        <v>119</v>
      </c>
      <c r="AO67" s="78" t="s">
        <v>116</v>
      </c>
      <c r="AP67" s="64"/>
      <c r="AQ67" s="64"/>
      <c r="AR67" s="64">
        <v>250</v>
      </c>
      <c r="AS67" s="64">
        <v>221</v>
      </c>
      <c r="AT67" s="64">
        <f t="shared" si="26"/>
        <v>243</v>
      </c>
      <c r="AU67" s="64" t="s">
        <v>117</v>
      </c>
      <c r="AV67" s="64">
        <f>0.221*0.071*4</f>
        <v>6.2764E-2</v>
      </c>
      <c r="AW67" s="64">
        <v>350</v>
      </c>
      <c r="AX67" s="319">
        <f t="shared" si="24"/>
        <v>30.067399999999999</v>
      </c>
      <c r="AY67" s="64"/>
      <c r="AZ67" s="64"/>
      <c r="BA67" s="64"/>
      <c r="BB67" s="64"/>
      <c r="BC67" s="64"/>
      <c r="BD67" s="78"/>
    </row>
    <row r="68" spans="2:56" ht="18" customHeight="1" thickBot="1" x14ac:dyDescent="0.25">
      <c r="B68" s="128"/>
      <c r="C68" s="57"/>
      <c r="D68" s="136"/>
      <c r="E68" s="57"/>
      <c r="F68" s="57"/>
      <c r="G68" s="57"/>
      <c r="H68" s="57"/>
      <c r="I68" s="57"/>
      <c r="J68" s="57"/>
      <c r="K68" s="57"/>
      <c r="L68" s="57"/>
      <c r="M68" s="57"/>
      <c r="N68" s="57"/>
      <c r="O68" s="57"/>
      <c r="P68" s="890"/>
      <c r="Q68" s="172"/>
      <c r="R68" s="94"/>
      <c r="S68" s="141"/>
      <c r="T68" s="996" t="s">
        <v>43</v>
      </c>
      <c r="U68" s="1462">
        <v>200</v>
      </c>
      <c r="V68" s="1456">
        <v>382</v>
      </c>
      <c r="W68" s="141"/>
      <c r="X68" s="286"/>
      <c r="Y68" s="292">
        <v>15</v>
      </c>
      <c r="Z68" s="690" t="str">
        <f t="shared" si="25"/>
        <v>kan niet</v>
      </c>
      <c r="AA68" s="691" t="str">
        <f t="shared" si="25"/>
        <v>kan niet</v>
      </c>
      <c r="AB68" s="691" t="str">
        <f t="shared" si="25"/>
        <v>kan niet</v>
      </c>
      <c r="AC68" s="76">
        <f t="shared" si="25"/>
        <v>297</v>
      </c>
      <c r="AD68" s="69">
        <f t="shared" si="27"/>
        <v>243</v>
      </c>
      <c r="AE68" s="64"/>
      <c r="AF68" s="64"/>
      <c r="AG68" s="64"/>
      <c r="AH68" s="64"/>
      <c r="AI68" s="286"/>
      <c r="AJ68" s="293">
        <v>15</v>
      </c>
      <c r="AK68" s="691" t="s">
        <v>561</v>
      </c>
      <c r="AL68" s="691" t="s">
        <v>561</v>
      </c>
      <c r="AM68" s="691" t="s">
        <v>561</v>
      </c>
      <c r="AN68" s="76" t="s">
        <v>120</v>
      </c>
      <c r="AO68" s="69" t="s">
        <v>117</v>
      </c>
      <c r="AP68" s="64"/>
      <c r="AQ68" s="64"/>
      <c r="AR68" s="64">
        <v>250</v>
      </c>
      <c r="AS68" s="64">
        <v>246</v>
      </c>
      <c r="AT68" s="64">
        <f t="shared" si="26"/>
        <v>268</v>
      </c>
      <c r="AU68" s="64" t="s">
        <v>118</v>
      </c>
      <c r="AV68" s="64">
        <f>0.246*0.071*4</f>
        <v>6.9863999999999996E-2</v>
      </c>
      <c r="AW68" s="64">
        <v>350</v>
      </c>
      <c r="AX68" s="319">
        <f t="shared" si="24"/>
        <v>32.552399999999999</v>
      </c>
      <c r="AY68" s="64"/>
      <c r="AZ68" s="64"/>
      <c r="BA68" s="64"/>
      <c r="BB68" s="64"/>
      <c r="BC68" s="64"/>
      <c r="BD68" s="78"/>
    </row>
    <row r="69" spans="2:56" ht="18" customHeight="1" x14ac:dyDescent="0.2">
      <c r="B69" s="128" t="s">
        <v>379</v>
      </c>
      <c r="C69" s="57"/>
      <c r="D69" s="1221">
        <f>'01_ALGEMEEN'!D179</f>
        <v>3.7</v>
      </c>
      <c r="E69" s="57" t="s">
        <v>72</v>
      </c>
      <c r="F69" s="893"/>
      <c r="G69" s="57"/>
      <c r="H69" s="57"/>
      <c r="I69" s="57"/>
      <c r="J69" s="57"/>
      <c r="K69" s="57"/>
      <c r="L69" s="57"/>
      <c r="M69" s="57"/>
      <c r="N69" s="57"/>
      <c r="O69" s="57"/>
      <c r="P69" s="94"/>
      <c r="Q69" s="980" t="s">
        <v>350</v>
      </c>
      <c r="R69" s="97" t="s">
        <v>351</v>
      </c>
      <c r="S69" s="141"/>
      <c r="T69" s="996"/>
      <c r="U69" s="1462">
        <v>260</v>
      </c>
      <c r="V69" s="1456">
        <v>505</v>
      </c>
      <c r="W69" s="141"/>
      <c r="X69" s="138"/>
      <c r="Y69" s="64"/>
      <c r="Z69" s="64"/>
      <c r="AA69" s="64"/>
      <c r="AB69" s="64"/>
      <c r="AC69" s="64"/>
      <c r="AD69" s="64"/>
      <c r="AE69" s="64"/>
      <c r="AF69" s="64"/>
      <c r="AG69" s="64"/>
      <c r="AH69" s="64"/>
      <c r="AI69" s="64"/>
      <c r="AJ69" s="64"/>
      <c r="AK69" s="64"/>
      <c r="AL69" s="64"/>
      <c r="AM69" s="64"/>
      <c r="AN69" s="64"/>
      <c r="AO69" s="64"/>
      <c r="AP69" s="64"/>
      <c r="AQ69" s="64"/>
      <c r="AR69" s="64">
        <v>250</v>
      </c>
      <c r="AS69" s="64">
        <v>271</v>
      </c>
      <c r="AT69" s="64">
        <f t="shared" si="26"/>
        <v>293</v>
      </c>
      <c r="AU69" s="64" t="s">
        <v>119</v>
      </c>
      <c r="AV69" s="64">
        <f>0.271*0.071*4</f>
        <v>7.6964000000000005E-2</v>
      </c>
      <c r="AW69" s="64">
        <v>350</v>
      </c>
      <c r="AX69" s="319">
        <f t="shared" si="24"/>
        <v>35.037399999999998</v>
      </c>
      <c r="AY69" s="64"/>
      <c r="AZ69" s="64"/>
      <c r="BA69" s="64"/>
      <c r="BB69" s="64"/>
      <c r="BC69" s="64"/>
      <c r="BD69" s="78"/>
    </row>
    <row r="70" spans="2:56" ht="18" customHeight="1" thickBot="1" x14ac:dyDescent="0.25">
      <c r="B70" s="1222" t="s">
        <v>4</v>
      </c>
      <c r="C70" s="1223" t="str">
        <f>'01_ALGEMEEN'!D180</f>
        <v>kanaalplaatvloer</v>
      </c>
      <c r="D70" s="1224">
        <f>VLOOKUP($C$70,$C$72:$P$89,2,0)</f>
        <v>200</v>
      </c>
      <c r="E70" s="121">
        <f>VLOOKUP($C$70,$C$72:$P$89,3,0)</f>
        <v>0</v>
      </c>
      <c r="F70" s="121">
        <f>VLOOKUP($C$70,$C$72:$P$89,4,0)</f>
        <v>303</v>
      </c>
      <c r="G70" s="121">
        <f>VLOOKUP($C$70,$C$72:$P$89,5,0)</f>
        <v>0</v>
      </c>
      <c r="H70" s="894">
        <f>VLOOKUP($C$70,$C$72:$P$89,6,0)</f>
        <v>1.82</v>
      </c>
      <c r="I70" s="121">
        <f>VLOOKUP($C$70,$C$72:$P$89,7,0)</f>
        <v>0</v>
      </c>
      <c r="J70" s="121">
        <f>VLOOKUP($C$70,$C$72:$P$89,8,0)</f>
        <v>144</v>
      </c>
      <c r="K70" s="121">
        <f>VLOOKUP($C$70,$C$72:$P$89,9,0)</f>
        <v>3</v>
      </c>
      <c r="L70" s="895">
        <f>VLOOKUP($C$70,$C$72:$P$89,10,0)</f>
        <v>0</v>
      </c>
      <c r="M70" s="121">
        <f>VLOOKUP($C$70,$C$72:$P$89,11,0)</f>
        <v>0</v>
      </c>
      <c r="N70" s="121">
        <f>VLOOKUP($C$70,$C$72:$P$89,12,0)</f>
        <v>0</v>
      </c>
      <c r="O70" s="121">
        <f>VLOOKUP($C$70,$C$72:$P$89,13,0)</f>
        <v>0</v>
      </c>
      <c r="P70" s="896">
        <f>VLOOKUP($C$70,$C$72:$P$89,14,0)</f>
        <v>0</v>
      </c>
      <c r="Q70" s="1069">
        <f>VLOOKUP($C$20,$C$22:$P$39,14,0)</f>
        <v>5.91</v>
      </c>
      <c r="R70" s="105">
        <f>VLOOKUP($C$70,C72:R97,16,0)</f>
        <v>447</v>
      </c>
      <c r="S70" s="141"/>
      <c r="T70" s="996"/>
      <c r="U70" s="1462">
        <v>320</v>
      </c>
      <c r="V70" s="1456">
        <v>705</v>
      </c>
      <c r="W70" s="141"/>
      <c r="X70" s="138"/>
      <c r="Y70" s="814" t="s">
        <v>1072</v>
      </c>
      <c r="Z70" s="122">
        <f>0.018*450</f>
        <v>8.1</v>
      </c>
      <c r="AA70" s="64" t="s">
        <v>67</v>
      </c>
      <c r="AB70" s="64"/>
      <c r="AC70" s="64"/>
      <c r="AD70" s="64"/>
      <c r="AE70" s="64"/>
      <c r="AF70" s="64"/>
      <c r="AG70" s="64"/>
      <c r="AH70" s="64"/>
      <c r="AI70" s="64"/>
      <c r="AJ70" s="64"/>
      <c r="AK70" s="64"/>
      <c r="AL70" s="64"/>
      <c r="AM70" s="64"/>
      <c r="AN70" s="64"/>
      <c r="AO70" s="64"/>
      <c r="AP70" s="64"/>
      <c r="AQ70" s="64"/>
      <c r="AR70" s="64">
        <v>200</v>
      </c>
      <c r="AS70" s="64">
        <v>275</v>
      </c>
      <c r="AT70" s="64">
        <f t="shared" si="26"/>
        <v>297</v>
      </c>
      <c r="AU70" s="64" t="s">
        <v>120</v>
      </c>
      <c r="AV70" s="64">
        <f>0.275*0.075*5</f>
        <v>0.10312500000000001</v>
      </c>
      <c r="AW70" s="64">
        <v>350</v>
      </c>
      <c r="AX70" s="319">
        <f t="shared" si="24"/>
        <v>44.193750000000001</v>
      </c>
      <c r="AY70" s="64"/>
      <c r="AZ70" s="64"/>
      <c r="BA70" s="64"/>
      <c r="BB70" s="64"/>
      <c r="BC70" s="64"/>
      <c r="BD70" s="78"/>
    </row>
    <row r="71" spans="2:56" ht="18" customHeight="1" thickBot="1" x14ac:dyDescent="0.25">
      <c r="B71" s="106" t="s">
        <v>536</v>
      </c>
      <c r="C71" s="107"/>
      <c r="D71" s="107"/>
      <c r="E71" s="108" t="s">
        <v>192</v>
      </c>
      <c r="F71" s="108" t="s">
        <v>193</v>
      </c>
      <c r="G71" s="108" t="s">
        <v>101</v>
      </c>
      <c r="H71" s="109" t="s">
        <v>102</v>
      </c>
      <c r="I71" s="108" t="s">
        <v>216</v>
      </c>
      <c r="J71" s="108" t="s">
        <v>80</v>
      </c>
      <c r="K71" s="109" t="s">
        <v>100</v>
      </c>
      <c r="L71" s="108" t="s">
        <v>368</v>
      </c>
      <c r="M71" s="110" t="s">
        <v>111</v>
      </c>
      <c r="N71" s="110" t="s">
        <v>194</v>
      </c>
      <c r="O71" s="108" t="s">
        <v>173</v>
      </c>
      <c r="P71" s="111" t="s">
        <v>292</v>
      </c>
      <c r="Q71" s="1208" t="s">
        <v>293</v>
      </c>
      <c r="R71" s="1209" t="s">
        <v>406</v>
      </c>
      <c r="S71" s="141"/>
      <c r="T71" s="996"/>
      <c r="U71" s="1462" t="s">
        <v>561</v>
      </c>
      <c r="V71" s="1456" t="s">
        <v>561</v>
      </c>
      <c r="W71" s="141"/>
      <c r="X71" s="138"/>
      <c r="Y71" s="64"/>
      <c r="Z71" s="64"/>
      <c r="AA71" s="64"/>
      <c r="AB71" s="64"/>
      <c r="AC71" s="64"/>
      <c r="AD71" s="64"/>
      <c r="AE71" s="64"/>
      <c r="AF71" s="64"/>
      <c r="AG71" s="64"/>
      <c r="AH71" s="64"/>
      <c r="AI71" s="64"/>
      <c r="AJ71" s="64"/>
      <c r="AK71" s="64"/>
      <c r="AL71" s="64"/>
      <c r="AM71" s="64"/>
      <c r="AN71" s="64"/>
      <c r="AO71" s="64"/>
      <c r="AP71" s="64"/>
      <c r="AQ71" s="64"/>
      <c r="AR71" s="64"/>
      <c r="AS71" s="64"/>
      <c r="AT71" s="130" t="s">
        <v>561</v>
      </c>
      <c r="AU71" s="130" t="s">
        <v>561</v>
      </c>
      <c r="AV71" s="130" t="s">
        <v>561</v>
      </c>
      <c r="AW71" s="130" t="s">
        <v>561</v>
      </c>
      <c r="AX71" s="130" t="s">
        <v>561</v>
      </c>
      <c r="AY71" s="64"/>
      <c r="AZ71" s="64"/>
      <c r="BA71" s="64"/>
      <c r="BB71" s="64"/>
      <c r="BC71" s="64"/>
      <c r="BD71" s="78"/>
    </row>
    <row r="72" spans="2:56" ht="18" customHeight="1" thickBot="1" x14ac:dyDescent="0.25">
      <c r="B72" s="880">
        <v>1</v>
      </c>
      <c r="C72" s="890" t="s">
        <v>42</v>
      </c>
      <c r="D72" s="859">
        <f>IF(OR($C$15=60,C15=30),INDEX($Y$7:$AF$10,MATCH($I$13,$X$7:$X$10,0),MATCH($D$69,$Y$6:$AF$6,-1)),IF($F$15=90,INDEX($Y$15:$AF$18,MATCH($I$13,$X$15:$X$18,0),MATCH($D$69,$Y$14:$AF$14,-1)),IF($F$15=120,INDEX($AT$7:$BA$10,MATCH($I$13,$AS$7:$AS$10,0),MATCH($D$69,$AT$6:$BA$6,-1)))))</f>
        <v>200</v>
      </c>
      <c r="E72" s="859"/>
      <c r="F72" s="859">
        <f>VLOOKUP(D72,$AS$13:$AT$16,2,FALSE)</f>
        <v>303</v>
      </c>
      <c r="G72" s="37"/>
      <c r="H72" s="37">
        <f>INDEX($AJ$7:$AQ$10,MATCH($I$13,$AI$7:$AI$10,0),MATCH($D$69,$AJ$6:$AQ$6,-1))</f>
        <v>1.82</v>
      </c>
      <c r="I72" s="37"/>
      <c r="J72" s="37">
        <f>VLOOKUP(F72,$AT$12:$AV$16,3)</f>
        <v>144</v>
      </c>
      <c r="K72" s="37">
        <f>VLOOKUP(F72,$AT$12:$AW$16,4)</f>
        <v>3</v>
      </c>
      <c r="L72" s="37"/>
      <c r="M72" s="37"/>
      <c r="N72" s="37"/>
      <c r="O72" s="37"/>
      <c r="P72" s="881"/>
      <c r="Q72" s="1071">
        <f t="shared" ref="Q72:Q90" si="28">Q22</f>
        <v>0</v>
      </c>
      <c r="R72" s="117">
        <f>VLOOKUP(D72,$U$9:$V$14,2)</f>
        <v>447</v>
      </c>
      <c r="S72" s="141"/>
      <c r="T72" s="1454" t="s">
        <v>47</v>
      </c>
      <c r="U72" s="1461">
        <v>200</v>
      </c>
      <c r="V72" s="1455">
        <v>377</v>
      </c>
      <c r="W72" s="141"/>
      <c r="X72" s="254" t="s">
        <v>45</v>
      </c>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6"/>
    </row>
    <row r="73" spans="2:56" ht="18" customHeight="1" x14ac:dyDescent="0.2">
      <c r="B73" s="128">
        <v>2</v>
      </c>
      <c r="C73" s="57" t="s">
        <v>618</v>
      </c>
      <c r="D73" s="859">
        <f>INDEX($Z$44:$AD$55,MATCH($I$13,$Y$44:$Y$55,0),MATCH($D$69,$Z$43:$AD$43,-1))</f>
        <v>200</v>
      </c>
      <c r="E73" s="859">
        <f>INDEX($AK$51:$AO$54,MATCH($I$13,$AJ$51:$AJ$54,0),MATCH($D$69,$AK$50:$AO$50,-1))</f>
        <v>500</v>
      </c>
      <c r="F73" s="859"/>
      <c r="G73" s="37">
        <f>INDEX($AK$44:$AO$47,MATCH($I$13,$AJ$44:$AJ$47,0),MATCH($D$69,$AK$43:$AO$43,-1))</f>
        <v>15</v>
      </c>
      <c r="H73" s="37"/>
      <c r="I73" s="37"/>
      <c r="J73" s="37"/>
      <c r="K73" s="37"/>
      <c r="L73" s="37"/>
      <c r="M73" s="37"/>
      <c r="N73" s="37"/>
      <c r="O73" s="37"/>
      <c r="P73" s="881"/>
      <c r="Q73" s="1071">
        <f t="shared" si="28"/>
        <v>0</v>
      </c>
      <c r="R73" s="117">
        <f>VLOOKUP(D73,$U$15:$V$19,2)</f>
        <v>480</v>
      </c>
      <c r="S73" s="141"/>
      <c r="T73" s="996"/>
      <c r="U73" s="1462">
        <v>260</v>
      </c>
      <c r="V73" s="1456">
        <v>501</v>
      </c>
      <c r="W73" s="141"/>
      <c r="X73" s="334"/>
      <c r="Y73" s="148"/>
      <c r="Z73" s="154"/>
      <c r="AA73" s="154"/>
      <c r="AB73" s="154"/>
      <c r="AC73" s="154"/>
      <c r="AD73" s="154"/>
      <c r="AE73" s="148"/>
      <c r="AF73" s="154"/>
      <c r="AG73" s="154"/>
      <c r="AH73" s="154"/>
      <c r="AI73" s="154"/>
      <c r="AJ73" s="154"/>
      <c r="AK73" s="151"/>
      <c r="AL73" s="151"/>
      <c r="AM73" s="70"/>
      <c r="AN73" s="70"/>
      <c r="AO73" s="70"/>
      <c r="AP73" s="70"/>
      <c r="AQ73" s="70"/>
      <c r="AR73" s="70"/>
      <c r="AS73" s="70"/>
      <c r="AT73" s="70"/>
      <c r="AU73" s="70"/>
      <c r="AV73" s="70"/>
      <c r="AW73" s="70"/>
      <c r="AX73" s="70"/>
      <c r="AY73" s="70"/>
      <c r="AZ73" s="70"/>
      <c r="BA73" s="70"/>
      <c r="BB73" s="70"/>
      <c r="BC73" s="70"/>
      <c r="BD73" s="243"/>
    </row>
    <row r="74" spans="2:56" ht="18" customHeight="1" x14ac:dyDescent="0.2">
      <c r="B74" s="128">
        <v>3</v>
      </c>
      <c r="C74" s="57" t="s">
        <v>437</v>
      </c>
      <c r="D74" s="859">
        <f>INDEX($AJ$23:$AN$26,MATCH($I$13,$AI$23:$AI$26,0),MATCH($D$69,$AJ$22:$AN$22,-1))</f>
        <v>390</v>
      </c>
      <c r="E74" s="37">
        <f>$Y$38</f>
        <v>116.41</v>
      </c>
      <c r="F74" s="859">
        <f>$Y$34</f>
        <v>168.00000000000003</v>
      </c>
      <c r="G74" s="37">
        <f>$Y$35</f>
        <v>1.97</v>
      </c>
      <c r="H74" s="37"/>
      <c r="I74" s="37">
        <f>INDEX($Y$29:$AC$32,MATCH($I$13,$X$29:$X$32,0),MATCH($D$69,$Y$28:$AC$28,-1))</f>
        <v>30.083333333333332</v>
      </c>
      <c r="J74" s="37"/>
      <c r="K74" s="37"/>
      <c r="L74" s="37"/>
      <c r="M74" s="37"/>
      <c r="N74" s="37"/>
      <c r="O74" s="37"/>
      <c r="P74" s="881">
        <f>$Y$37</f>
        <v>5.91</v>
      </c>
      <c r="Q74" s="1071">
        <f t="shared" si="28"/>
        <v>0</v>
      </c>
      <c r="R74" s="117">
        <f>VLOOKUP(D74,$U$20:$V$31,2)</f>
        <v>322.37333333333333</v>
      </c>
      <c r="S74" s="141"/>
      <c r="T74" s="996"/>
      <c r="U74" s="1462">
        <v>320</v>
      </c>
      <c r="V74" s="1456">
        <v>573</v>
      </c>
      <c r="W74" s="141"/>
      <c r="X74" s="278" t="s">
        <v>141</v>
      </c>
      <c r="Y74" s="301">
        <v>16</v>
      </c>
      <c r="Z74" s="302">
        <v>12.6</v>
      </c>
      <c r="AA74" s="302">
        <v>10.8</v>
      </c>
      <c r="AB74" s="302">
        <v>7.2</v>
      </c>
      <c r="AC74" s="302">
        <v>5.4</v>
      </c>
      <c r="AD74" s="303">
        <v>3.6</v>
      </c>
      <c r="AE74" s="124"/>
      <c r="AF74" s="124"/>
      <c r="AG74" s="148"/>
      <c r="AH74" s="154"/>
      <c r="AI74" s="1219" t="s">
        <v>853</v>
      </c>
      <c r="AP74" s="64"/>
      <c r="AQ74" s="70"/>
      <c r="AR74" s="70"/>
      <c r="AS74" s="70"/>
      <c r="AT74" s="70"/>
      <c r="AU74" s="70"/>
      <c r="AV74" s="70"/>
      <c r="AW74" s="70"/>
      <c r="AX74" s="70"/>
      <c r="AY74" s="70"/>
      <c r="AZ74" s="70"/>
      <c r="BA74" s="70"/>
      <c r="BB74" s="70"/>
      <c r="BC74" s="70"/>
      <c r="BD74" s="243"/>
    </row>
    <row r="75" spans="2:56" ht="18" customHeight="1" x14ac:dyDescent="0.2">
      <c r="B75" s="128">
        <v>4</v>
      </c>
      <c r="C75" s="57" t="s">
        <v>121</v>
      </c>
      <c r="D75" s="859">
        <f>INDEX($Z$66:$AD$68,MATCH($F$13,$Y$66:$Y$68,0),MATCH($D$44,$Z$65:$AD$65,-1))</f>
        <v>293</v>
      </c>
      <c r="E75" s="859"/>
      <c r="F75" s="859"/>
      <c r="G75" s="37"/>
      <c r="H75" s="37"/>
      <c r="I75" s="37"/>
      <c r="J75" s="37"/>
      <c r="K75" s="37"/>
      <c r="L75" s="37">
        <f>VLOOKUP(D75,$AT$65:$AX$71,5)</f>
        <v>35.037399999999998</v>
      </c>
      <c r="M75" s="37">
        <f>$Z$70</f>
        <v>8.1</v>
      </c>
      <c r="N75" s="37"/>
      <c r="O75" s="37"/>
      <c r="P75" s="881"/>
      <c r="Q75" s="1071">
        <f t="shared" si="28"/>
        <v>0</v>
      </c>
      <c r="R75" s="117">
        <f>VLOOKUP(D75,$U$32:$V$38,2)</f>
        <v>35.037399999999998</v>
      </c>
      <c r="S75" s="141"/>
      <c r="T75" s="996"/>
      <c r="U75" s="1462">
        <v>400</v>
      </c>
      <c r="V75" s="1161">
        <v>496</v>
      </c>
      <c r="W75" s="141"/>
      <c r="X75" s="1171">
        <v>5</v>
      </c>
      <c r="Y75" s="692" t="s">
        <v>561</v>
      </c>
      <c r="Z75" s="693" t="s">
        <v>561</v>
      </c>
      <c r="AA75" s="693" t="s">
        <v>561</v>
      </c>
      <c r="AB75" s="693" t="s">
        <v>561</v>
      </c>
      <c r="AC75" s="305">
        <v>175</v>
      </c>
      <c r="AD75" s="306">
        <v>150</v>
      </c>
      <c r="AE75" s="124"/>
      <c r="AF75" s="124"/>
      <c r="AG75" s="148"/>
      <c r="AH75" s="154"/>
      <c r="AP75" s="64"/>
      <c r="AQ75" s="70"/>
      <c r="AR75" s="70"/>
      <c r="AS75" s="70"/>
      <c r="AT75" s="70"/>
      <c r="AU75" s="70"/>
      <c r="AV75" s="70"/>
      <c r="AW75" s="70"/>
      <c r="AX75" s="70"/>
      <c r="AY75" s="70"/>
      <c r="AZ75" s="70"/>
      <c r="BA75" s="70"/>
      <c r="BB75" s="70"/>
      <c r="BC75" s="70"/>
      <c r="BD75" s="243"/>
    </row>
    <row r="76" spans="2:56" ht="18" customHeight="1" x14ac:dyDescent="0.2">
      <c r="B76" s="128">
        <v>5</v>
      </c>
      <c r="C76" s="57" t="s">
        <v>45</v>
      </c>
      <c r="D76" s="859">
        <f>INDEX($Y$75:$AD$78,MATCH($I$13,$X$75:$X$78,0),MATCH($D$69,$Y$74:$AD$74,-1))</f>
        <v>175</v>
      </c>
      <c r="E76" s="859">
        <f>INDEX($Y$81:$AD$84,MATCH($I$13,$X$81:$X$84,0),MATCH($D$69,$Y$80:$AD$80,-1))</f>
        <v>293</v>
      </c>
      <c r="F76" s="859"/>
      <c r="G76" s="37"/>
      <c r="H76" s="37"/>
      <c r="I76" s="882"/>
      <c r="J76" s="37"/>
      <c r="K76" s="37"/>
      <c r="L76" s="37"/>
      <c r="M76" s="37"/>
      <c r="N76" s="37"/>
      <c r="O76" s="37"/>
      <c r="P76" s="881">
        <f>INDEX($AJ$81:$AO$84,MATCH($I$13,$AI$81:$AI$84,0),MATCH($D$69,$AJ$80:$AO$80,-1))</f>
        <v>15.6</v>
      </c>
      <c r="Q76" s="1071">
        <f t="shared" si="28"/>
        <v>0</v>
      </c>
      <c r="R76" s="117">
        <f>VLOOKUP(D76,$U$39:$V$43,2)</f>
        <v>353</v>
      </c>
      <c r="S76" s="141"/>
      <c r="T76" s="222"/>
      <c r="U76" s="1480" t="s">
        <v>561</v>
      </c>
      <c r="V76" s="1162" t="s">
        <v>561</v>
      </c>
      <c r="W76" s="141"/>
      <c r="X76" s="1171">
        <v>10</v>
      </c>
      <c r="Y76" s="694" t="s">
        <v>561</v>
      </c>
      <c r="Z76" s="695" t="s">
        <v>561</v>
      </c>
      <c r="AA76" s="695" t="s">
        <v>561</v>
      </c>
      <c r="AB76" s="695" t="s">
        <v>561</v>
      </c>
      <c r="AC76" s="149">
        <v>330</v>
      </c>
      <c r="AD76" s="226">
        <v>200</v>
      </c>
      <c r="AE76" s="124"/>
      <c r="AF76" s="124"/>
      <c r="AG76" s="148"/>
      <c r="AH76" s="154"/>
      <c r="AP76" s="64"/>
      <c r="AQ76" s="70"/>
      <c r="AR76" s="70"/>
      <c r="AS76" s="70"/>
      <c r="AT76" s="70"/>
      <c r="AU76" s="70"/>
      <c r="AV76" s="70"/>
      <c r="AW76" s="70"/>
      <c r="AX76" s="70"/>
      <c r="AY76" s="70"/>
      <c r="AZ76" s="70"/>
      <c r="BA76" s="70"/>
      <c r="BB76" s="70"/>
      <c r="BC76" s="70"/>
      <c r="BD76" s="243"/>
    </row>
    <row r="77" spans="2:56" ht="18" customHeight="1" x14ac:dyDescent="0.2">
      <c r="B77" s="128">
        <v>6</v>
      </c>
      <c r="C77" s="57" t="s">
        <v>1067</v>
      </c>
      <c r="D77" s="859">
        <f>INDEX($Y$89:$AD$92,MATCH($I$13,$X$89:$X$92,0),MATCH($D$69,$Y$88:$AD$88,-1))</f>
        <v>230</v>
      </c>
      <c r="E77" s="859">
        <f>INDEX($Y$101:$AD$104,MATCH($I$13,$X$101:$X$104,0),MATCH($D$69,$Y$100:$AD$100,-1))</f>
        <v>340</v>
      </c>
      <c r="F77" s="859">
        <f>INDEX($Y$95:$AD$98,MATCH($I$13,$X$95:$X$98,0),MATCH($D$69,$Y$94:$AD$94,-1))</f>
        <v>168</v>
      </c>
      <c r="G77" s="37">
        <f>INDEX($AJ$89:$AO$92,MATCH($I$13,$AI$89:$AI$92,0),MATCH($D$69,$AJ$88:$AO$88,-1))+INDEX($AJ$95:$AO$98,MATCH($I$13,$AI$95:$AI$98,0),MATCH($D$69,$AJ$94:$AO$94,-1))</f>
        <v>21.4</v>
      </c>
      <c r="H77" s="37"/>
      <c r="I77" s="37"/>
      <c r="J77" s="37"/>
      <c r="K77" s="882"/>
      <c r="L77" s="37"/>
      <c r="M77" s="37"/>
      <c r="N77" s="37">
        <f>INDEX($AJ$101:$AO$104,MATCH($I$13,$AI$101:$AI$104,0),MATCH($D$69,$AJ$100:$AO$100,-1))</f>
        <v>3.25</v>
      </c>
      <c r="O77" s="37"/>
      <c r="P77" s="881"/>
      <c r="Q77" s="1071">
        <f t="shared" si="28"/>
        <v>0</v>
      </c>
      <c r="R77" s="117">
        <f>VLOOKUP(D77,$U$44:$V$49,2)</f>
        <v>432</v>
      </c>
      <c r="S77" s="141"/>
      <c r="T77" s="996" t="s">
        <v>441</v>
      </c>
      <c r="U77" s="1462">
        <v>700</v>
      </c>
      <c r="V77" s="1456">
        <v>624</v>
      </c>
      <c r="W77" s="141"/>
      <c r="X77" s="1171">
        <v>15</v>
      </c>
      <c r="Y77" s="694" t="s">
        <v>561</v>
      </c>
      <c r="Z77" s="695" t="s">
        <v>561</v>
      </c>
      <c r="AA77" s="695" t="s">
        <v>561</v>
      </c>
      <c r="AB77" s="695" t="s">
        <v>561</v>
      </c>
      <c r="AC77" s="695" t="s">
        <v>561</v>
      </c>
      <c r="AD77" s="696" t="s">
        <v>561</v>
      </c>
      <c r="AE77" s="124"/>
      <c r="AF77" s="124"/>
      <c r="AG77" s="148"/>
      <c r="AH77" s="154"/>
      <c r="AP77" s="64"/>
      <c r="AQ77" s="70"/>
      <c r="AR77" s="70"/>
      <c r="AS77" s="70"/>
      <c r="AT77" s="70"/>
      <c r="AU77" s="70"/>
      <c r="AV77" s="70"/>
      <c r="AW77" s="70"/>
      <c r="AX77" s="70"/>
      <c r="AY77" s="70"/>
      <c r="AZ77" s="70"/>
      <c r="BA77" s="70"/>
      <c r="BB77" s="70"/>
      <c r="BC77" s="70"/>
      <c r="BD77" s="243"/>
    </row>
    <row r="78" spans="2:56" ht="18" customHeight="1" x14ac:dyDescent="0.2">
      <c r="B78" s="128">
        <v>7</v>
      </c>
      <c r="C78" s="57" t="s">
        <v>845</v>
      </c>
      <c r="D78" s="859">
        <f>INDEX($AJ$121:$AO$124,MATCH($I$13,$AI$121:$AI$124,0),MATCH($D$69,$AJ$120:$AO$120,-1))</f>
        <v>190</v>
      </c>
      <c r="E78" s="859">
        <f>INDEX($AJ$115:$AO$118,MATCH($I$13,$AI$115:$AI$118,0),MATCH($D$69,$AJ$114:$AO$114,-1))</f>
        <v>10</v>
      </c>
      <c r="F78" s="859">
        <f>INDEX($Y$115:$AD$118,MATCH($I$13,$X$115:$X$118,0),MATCH($D$69,$Y$114:$AD$114,-1))</f>
        <v>375</v>
      </c>
      <c r="G78" s="37"/>
      <c r="H78" s="37">
        <f>INDEX($Y$121:$AD$124,MATCH($I$13,$X$121:$X$124,0),MATCH($D$69,$Y$120:$AD$120,-1))</f>
        <v>1.77</v>
      </c>
      <c r="I78" s="37"/>
      <c r="J78" s="37"/>
      <c r="K78" s="37"/>
      <c r="L78" s="37"/>
      <c r="M78" s="37"/>
      <c r="N78" s="37"/>
      <c r="O78" s="37"/>
      <c r="P78" s="881"/>
      <c r="Q78" s="1071">
        <f t="shared" si="28"/>
        <v>0</v>
      </c>
      <c r="R78" s="117">
        <f>VLOOKUP(D78,$U$50:$V$53,2)</f>
        <v>456</v>
      </c>
      <c r="S78" s="141"/>
      <c r="T78" s="996"/>
      <c r="U78" s="1462" t="s">
        <v>561</v>
      </c>
      <c r="V78" s="1456" t="s">
        <v>561</v>
      </c>
      <c r="W78" s="141"/>
      <c r="X78" s="280">
        <v>20</v>
      </c>
      <c r="Y78" s="697" t="s">
        <v>561</v>
      </c>
      <c r="Z78" s="698" t="s">
        <v>561</v>
      </c>
      <c r="AA78" s="698" t="s">
        <v>561</v>
      </c>
      <c r="AB78" s="698" t="s">
        <v>561</v>
      </c>
      <c r="AC78" s="698" t="s">
        <v>561</v>
      </c>
      <c r="AD78" s="699" t="s">
        <v>561</v>
      </c>
      <c r="AE78" s="124"/>
      <c r="AF78" s="124"/>
      <c r="AG78" s="66"/>
      <c r="AH78" s="79"/>
      <c r="AP78" s="64"/>
      <c r="AQ78" s="70"/>
      <c r="AR78" s="70"/>
      <c r="AS78" s="70"/>
      <c r="AT78" s="70"/>
      <c r="AU78" s="70"/>
      <c r="AV78" s="70"/>
      <c r="AW78" s="70"/>
      <c r="AX78" s="70"/>
      <c r="AY78" s="70"/>
      <c r="AZ78" s="70"/>
      <c r="BA78" s="70"/>
      <c r="BB78" s="70"/>
      <c r="BC78" s="70"/>
      <c r="BD78" s="243"/>
    </row>
    <row r="79" spans="2:56" ht="18" customHeight="1" x14ac:dyDescent="0.2">
      <c r="B79" s="128">
        <v>8</v>
      </c>
      <c r="C79" s="57" t="s">
        <v>439</v>
      </c>
      <c r="D79" s="859">
        <f>INDEX($Y$129:$AD$132,MATCH($I$13,$X$129:$X$132,0),MATCH($D$69,$Y$128:$AD$128,-1))</f>
        <v>284</v>
      </c>
      <c r="E79" s="859">
        <f>INDEX($Y$135:$AD$138,MATCH($I$13,$X$135:$X$138,0),MATCH($D$69,$Y$134:$AD$134,-1))</f>
        <v>193</v>
      </c>
      <c r="F79" s="859"/>
      <c r="G79" s="37"/>
      <c r="H79" s="37"/>
      <c r="I79" s="37"/>
      <c r="J79" s="37"/>
      <c r="K79" s="37"/>
      <c r="L79" s="37"/>
      <c r="M79" s="37"/>
      <c r="N79" s="882"/>
      <c r="O79" s="37">
        <f>IF(D79&gt;0,$Y$143,0)</f>
        <v>3.4079999999999999</v>
      </c>
      <c r="P79" s="881">
        <f>INDEX($AJ$129:$AO$132,MATCH($I$13,$AI$129:$AI$132,0),MATCH($D$69,$AJ$128:$AO$128,-1))</f>
        <v>16</v>
      </c>
      <c r="Q79" s="1071">
        <f t="shared" si="28"/>
        <v>0</v>
      </c>
      <c r="R79" s="117">
        <f>VLOOKUP(D79,$U$54:$V$57,2)</f>
        <v>210.6</v>
      </c>
      <c r="S79" s="141"/>
      <c r="T79" s="1454" t="s">
        <v>39</v>
      </c>
      <c r="U79" s="1461">
        <v>150</v>
      </c>
      <c r="V79" s="1477">
        <f t="shared" ref="V79:V84" si="29">2.4*U79</f>
        <v>360</v>
      </c>
      <c r="W79" s="141"/>
      <c r="X79" s="335"/>
      <c r="Y79" s="79"/>
      <c r="Z79" s="79"/>
      <c r="AA79" s="79"/>
      <c r="AB79" s="79"/>
      <c r="AC79" s="79"/>
      <c r="AD79" s="79"/>
      <c r="AE79" s="124"/>
      <c r="AF79" s="124"/>
      <c r="AG79" s="79"/>
      <c r="AH79" s="79"/>
      <c r="AI79" s="79"/>
      <c r="AJ79" s="79"/>
      <c r="AK79" s="79"/>
      <c r="AL79" s="79"/>
      <c r="AM79" s="79"/>
      <c r="AN79" s="79"/>
      <c r="AO79" s="79"/>
      <c r="AP79" s="70"/>
      <c r="AQ79" s="70"/>
      <c r="AR79" s="70"/>
      <c r="AS79" s="70"/>
      <c r="AT79" s="70"/>
      <c r="AU79" s="70"/>
      <c r="AV79" s="70"/>
      <c r="AW79" s="70"/>
      <c r="AX79" s="70"/>
      <c r="AY79" s="70"/>
      <c r="AZ79" s="70"/>
      <c r="BA79" s="70"/>
      <c r="BB79" s="70"/>
      <c r="BC79" s="70"/>
      <c r="BD79" s="243"/>
    </row>
    <row r="80" spans="2:56" ht="18" customHeight="1" x14ac:dyDescent="0.2">
      <c r="B80" s="128">
        <v>9</v>
      </c>
      <c r="C80" s="57" t="s">
        <v>442</v>
      </c>
      <c r="D80" s="859">
        <f>INDEX($Y$150:$AD$153,MATCH($I$13,$X$150:$X$153,0),MATCH($D$69,$Y$149:$AD$149,-1))</f>
        <v>201</v>
      </c>
      <c r="E80" s="859"/>
      <c r="F80" s="859"/>
      <c r="G80" s="37"/>
      <c r="H80" s="37"/>
      <c r="I80" s="37"/>
      <c r="J80" s="37"/>
      <c r="K80" s="882"/>
      <c r="L80" s="37">
        <f>INDEX($AJ$150:$AO$153,MATCH($I$13,$AI$150:$AI$153,0),MATCH($D$69,$AJ$149:$AO$149,-1))</f>
        <v>101</v>
      </c>
      <c r="M80" s="37"/>
      <c r="N80" s="37"/>
      <c r="O80" s="37"/>
      <c r="P80" s="881"/>
      <c r="Q80" s="1071">
        <f t="shared" si="28"/>
        <v>0</v>
      </c>
      <c r="R80" s="117">
        <f>VLOOKUP(D80,$U$95:$V$101,2,0)</f>
        <v>101</v>
      </c>
      <c r="S80" s="125"/>
      <c r="T80" s="996"/>
      <c r="U80" s="1462">
        <v>170</v>
      </c>
      <c r="V80" s="1459">
        <f t="shared" si="29"/>
        <v>408</v>
      </c>
      <c r="W80" s="125"/>
      <c r="X80" s="278" t="s">
        <v>0</v>
      </c>
      <c r="Y80" s="301">
        <v>16</v>
      </c>
      <c r="Z80" s="302">
        <v>12.6</v>
      </c>
      <c r="AA80" s="302">
        <v>10.8</v>
      </c>
      <c r="AB80" s="302">
        <v>7.2</v>
      </c>
      <c r="AC80" s="302">
        <v>5.4</v>
      </c>
      <c r="AD80" s="303">
        <v>3.6</v>
      </c>
      <c r="AE80" s="124"/>
      <c r="AF80" s="124"/>
      <c r="AG80" s="79"/>
      <c r="AH80" s="79"/>
      <c r="AI80" s="278" t="s">
        <v>292</v>
      </c>
      <c r="AJ80" s="301">
        <v>16</v>
      </c>
      <c r="AK80" s="302">
        <v>12.6</v>
      </c>
      <c r="AL80" s="302">
        <v>10.8</v>
      </c>
      <c r="AM80" s="302">
        <v>7.2</v>
      </c>
      <c r="AN80" s="302">
        <v>5.4</v>
      </c>
      <c r="AO80" s="303">
        <v>3.6</v>
      </c>
      <c r="AP80" s="70"/>
      <c r="AQ80" s="70"/>
      <c r="AR80" s="70"/>
      <c r="AS80" s="70"/>
      <c r="AT80" s="70"/>
      <c r="AU80" s="70"/>
      <c r="AV80" s="70"/>
      <c r="AW80" s="70"/>
      <c r="AX80" s="70"/>
      <c r="AY80" s="70"/>
      <c r="AZ80" s="70"/>
      <c r="BA80" s="70"/>
      <c r="BB80" s="70"/>
      <c r="BC80" s="70"/>
      <c r="BD80" s="243"/>
    </row>
    <row r="81" spans="2:57" ht="18" customHeight="1" x14ac:dyDescent="0.2">
      <c r="B81" s="128">
        <v>10</v>
      </c>
      <c r="C81" s="57" t="s">
        <v>440</v>
      </c>
      <c r="D81" s="859">
        <f>INDEX($Y$158:$AD$161,MATCH($I$13,$X$158:$X$161,0),MATCH($D$69,$Y$157:$AD$157,-1))</f>
        <v>280</v>
      </c>
      <c r="E81" s="859"/>
      <c r="F81" s="859"/>
      <c r="G81" s="37"/>
      <c r="H81" s="37"/>
      <c r="I81" s="37"/>
      <c r="J81" s="37"/>
      <c r="K81" s="37"/>
      <c r="L81" s="37">
        <f>INDEX($Y$164:$AD$167,MATCH($I$13,$X$164:$X$167,0),MATCH($D$69,$Y$163:$AD$163,-1))</f>
        <v>63</v>
      </c>
      <c r="M81" s="37"/>
      <c r="N81" s="37"/>
      <c r="O81" s="37"/>
      <c r="P81" s="881"/>
      <c r="Q81" s="1071">
        <f t="shared" si="28"/>
        <v>0</v>
      </c>
      <c r="R81" s="117">
        <f>VLOOKUP(D81,$U$58:$V$63,2,0)</f>
        <v>50</v>
      </c>
      <c r="S81" s="125"/>
      <c r="T81" s="996"/>
      <c r="U81" s="1462">
        <v>190</v>
      </c>
      <c r="V81" s="1459">
        <f t="shared" si="29"/>
        <v>456</v>
      </c>
      <c r="W81" s="125"/>
      <c r="X81" s="1171">
        <v>5</v>
      </c>
      <c r="Y81" s="692" t="s">
        <v>561</v>
      </c>
      <c r="Z81" s="693" t="s">
        <v>561</v>
      </c>
      <c r="AA81" s="693" t="s">
        <v>561</v>
      </c>
      <c r="AB81" s="693" t="s">
        <v>561</v>
      </c>
      <c r="AC81" s="305">
        <v>293</v>
      </c>
      <c r="AD81" s="306">
        <v>233</v>
      </c>
      <c r="AE81" s="124"/>
      <c r="AF81" s="124"/>
      <c r="AG81" s="79"/>
      <c r="AH81" s="79"/>
      <c r="AI81" s="1171">
        <v>5</v>
      </c>
      <c r="AJ81" s="692" t="s">
        <v>561</v>
      </c>
      <c r="AK81" s="693" t="s">
        <v>561</v>
      </c>
      <c r="AL81" s="693" t="s">
        <v>561</v>
      </c>
      <c r="AM81" s="693" t="s">
        <v>561</v>
      </c>
      <c r="AN81" s="305">
        <v>15.6</v>
      </c>
      <c r="AO81" s="306">
        <v>10</v>
      </c>
      <c r="AP81" s="70"/>
      <c r="AQ81" s="70"/>
      <c r="AR81" s="70"/>
      <c r="AS81" s="70"/>
      <c r="AT81" s="70"/>
      <c r="AU81" s="70"/>
      <c r="AV81" s="70"/>
      <c r="AW81" s="70"/>
      <c r="AX81" s="70"/>
      <c r="AY81" s="70"/>
      <c r="AZ81" s="70"/>
      <c r="BA81" s="70"/>
      <c r="BB81" s="70"/>
      <c r="BC81" s="70"/>
      <c r="BD81" s="243"/>
    </row>
    <row r="82" spans="2:57" ht="18" customHeight="1" x14ac:dyDescent="0.2">
      <c r="B82" s="128">
        <v>11</v>
      </c>
      <c r="C82" s="57" t="s">
        <v>44</v>
      </c>
      <c r="D82" s="859">
        <f>INDEX($Y$174:$AE$177,MATCH($I$13,$X$174:$X$177,0),MATCH($D$69,$Y$173:$AE$173,-1))</f>
        <v>200</v>
      </c>
      <c r="E82" s="859"/>
      <c r="F82" s="859">
        <f>INDEX($Y$180:$AE$183,MATCH($I$13,$X$180:$X$183,0),MATCH($D$69,$Y$179:$AE$179,-1))</f>
        <v>480</v>
      </c>
      <c r="G82" s="37"/>
      <c r="H82" s="37">
        <f>INDEX($AJ$174:$AP$177,MATCH($I$13,$AI$174:$AI$177,0),MATCH($D$69,$AJ$173:$AP$173,-1))</f>
        <v>1.95</v>
      </c>
      <c r="I82" s="37"/>
      <c r="J82" s="37"/>
      <c r="K82" s="37"/>
      <c r="L82" s="37"/>
      <c r="M82" s="37"/>
      <c r="N82" s="37"/>
      <c r="O82" s="37"/>
      <c r="P82" s="881"/>
      <c r="Q82" s="1071">
        <f t="shared" si="28"/>
        <v>0</v>
      </c>
      <c r="R82" s="117">
        <f>VLOOKUP(D82,$U$64:$V$67,2)</f>
        <v>382</v>
      </c>
      <c r="S82" s="125"/>
      <c r="T82" s="996"/>
      <c r="U82" s="1462">
        <v>200</v>
      </c>
      <c r="V82" s="1459">
        <f t="shared" si="29"/>
        <v>480</v>
      </c>
      <c r="W82" s="125"/>
      <c r="X82" s="1171">
        <v>10</v>
      </c>
      <c r="Y82" s="694" t="s">
        <v>561</v>
      </c>
      <c r="Z82" s="695" t="s">
        <v>561</v>
      </c>
      <c r="AA82" s="695" t="s">
        <v>561</v>
      </c>
      <c r="AB82" s="695" t="s">
        <v>561</v>
      </c>
      <c r="AC82" s="149">
        <v>426</v>
      </c>
      <c r="AD82" s="226">
        <v>353</v>
      </c>
      <c r="AE82" s="124"/>
      <c r="AF82" s="124"/>
      <c r="AG82" s="79"/>
      <c r="AH82" s="79"/>
      <c r="AI82" s="1171">
        <v>10</v>
      </c>
      <c r="AJ82" s="694" t="s">
        <v>561</v>
      </c>
      <c r="AK82" s="695" t="s">
        <v>561</v>
      </c>
      <c r="AL82" s="695" t="s">
        <v>561</v>
      </c>
      <c r="AM82" s="695" t="s">
        <v>561</v>
      </c>
      <c r="AN82" s="149">
        <v>19</v>
      </c>
      <c r="AO82" s="226">
        <v>13.6</v>
      </c>
      <c r="AP82" s="70"/>
      <c r="AQ82" s="70"/>
      <c r="AR82" s="70"/>
      <c r="AS82" s="70"/>
      <c r="AT82" s="70"/>
      <c r="AU82" s="70"/>
      <c r="AV82" s="70"/>
      <c r="AW82" s="70"/>
      <c r="AX82" s="70"/>
      <c r="AY82" s="70"/>
      <c r="AZ82" s="70"/>
      <c r="BA82" s="70"/>
      <c r="BB82" s="70"/>
      <c r="BC82" s="70"/>
      <c r="BD82" s="243"/>
      <c r="BE82" s="57"/>
    </row>
    <row r="83" spans="2:57" ht="18" customHeight="1" x14ac:dyDescent="0.2">
      <c r="B83" s="128">
        <v>12</v>
      </c>
      <c r="C83" s="57" t="s">
        <v>43</v>
      </c>
      <c r="D83" s="859">
        <f>INDEX($Y$188:$AE$191,MATCH($I$13,$X$188:$X$191,0),MATCH($D$69,$Y$187:$AE$187,-1))</f>
        <v>200</v>
      </c>
      <c r="E83" s="859"/>
      <c r="F83" s="859">
        <f>INDEX($Y$194:$AE$197,MATCH($I$13,$X$194:$X$197,0),MATCH($D$69,$Y$193:$AE$193,-1))</f>
        <v>480</v>
      </c>
      <c r="G83" s="37"/>
      <c r="H83" s="37">
        <f>INDEX($AJ$188:$AP$191,MATCH($I$13,$AI$188:$AI$191,0),MATCH($D$69,$AJ$187:$AP$187,-1))</f>
        <v>1.95</v>
      </c>
      <c r="I83" s="37"/>
      <c r="J83" s="37"/>
      <c r="K83" s="37"/>
      <c r="L83" s="37"/>
      <c r="M83" s="37"/>
      <c r="N83" s="37"/>
      <c r="O83" s="37"/>
      <c r="P83" s="881"/>
      <c r="Q83" s="1071">
        <f t="shared" si="28"/>
        <v>0</v>
      </c>
      <c r="R83" s="117">
        <f>VLOOKUP(D83,$U$68:$V$71,2)</f>
        <v>382</v>
      </c>
      <c r="S83" s="125"/>
      <c r="T83" s="996"/>
      <c r="U83" s="1462">
        <v>210</v>
      </c>
      <c r="V83" s="1459">
        <f t="shared" si="29"/>
        <v>504</v>
      </c>
      <c r="W83" s="125"/>
      <c r="X83" s="1171">
        <v>15</v>
      </c>
      <c r="Y83" s="694" t="s">
        <v>561</v>
      </c>
      <c r="Z83" s="695" t="s">
        <v>561</v>
      </c>
      <c r="AA83" s="695" t="s">
        <v>561</v>
      </c>
      <c r="AB83" s="695" t="s">
        <v>561</v>
      </c>
      <c r="AC83" s="695" t="s">
        <v>561</v>
      </c>
      <c r="AD83" s="696" t="s">
        <v>561</v>
      </c>
      <c r="AE83" s="124"/>
      <c r="AF83" s="124"/>
      <c r="AG83" s="79"/>
      <c r="AH83" s="79"/>
      <c r="AI83" s="1171">
        <v>15</v>
      </c>
      <c r="AJ83" s="694" t="s">
        <v>561</v>
      </c>
      <c r="AK83" s="695" t="s">
        <v>561</v>
      </c>
      <c r="AL83" s="695" t="s">
        <v>561</v>
      </c>
      <c r="AM83" s="695" t="s">
        <v>561</v>
      </c>
      <c r="AN83" s="695" t="s">
        <v>561</v>
      </c>
      <c r="AO83" s="696" t="s">
        <v>561</v>
      </c>
      <c r="AP83" s="70"/>
      <c r="AQ83" s="70"/>
      <c r="AR83" s="70"/>
      <c r="AS83" s="70"/>
      <c r="AT83" s="70"/>
      <c r="AU83" s="70"/>
      <c r="AV83" s="70"/>
      <c r="AW83" s="70"/>
      <c r="AX83" s="70"/>
      <c r="AY83" s="70"/>
      <c r="AZ83" s="70"/>
      <c r="BA83" s="70"/>
      <c r="BB83" s="70"/>
      <c r="BC83" s="70"/>
      <c r="BD83" s="243"/>
      <c r="BE83" s="57"/>
    </row>
    <row r="84" spans="2:57" ht="18" customHeight="1" x14ac:dyDescent="0.2">
      <c r="B84" s="128">
        <v>13</v>
      </c>
      <c r="C84" s="57" t="s">
        <v>47</v>
      </c>
      <c r="D84" s="859">
        <f>INDEX($Y$202:$AE$205,MATCH($I$13,$X$202:$X$205,0),MATCH($D$69,$Y$201:$AE$201,-1))</f>
        <v>200</v>
      </c>
      <c r="E84" s="859"/>
      <c r="F84" s="859">
        <f>INDEX($X$208:$AE$211,MATCH($I$13,$X$208:$X$211,0),MATCH($D$69,$Y$207:$AE$207,-1))</f>
        <v>382</v>
      </c>
      <c r="G84" s="37"/>
      <c r="H84" s="37">
        <f>INDEX($AJ$202:$AO$205,MATCH($I$13,$AI$202:$AI$205,0),MATCH($D$69,$AJ$201:$AO$201,-1))</f>
        <v>1.95</v>
      </c>
      <c r="I84" s="37"/>
      <c r="J84" s="37"/>
      <c r="K84" s="37"/>
      <c r="L84" s="37"/>
      <c r="M84" s="37"/>
      <c r="N84" s="37"/>
      <c r="O84" s="37"/>
      <c r="P84" s="881"/>
      <c r="Q84" s="1071">
        <f t="shared" si="28"/>
        <v>0</v>
      </c>
      <c r="R84" s="117">
        <f>VLOOKUP(D84,$U$72:$V$76,2)</f>
        <v>377</v>
      </c>
      <c r="S84" s="125"/>
      <c r="T84" s="996"/>
      <c r="U84" s="1462">
        <v>220</v>
      </c>
      <c r="V84" s="1459">
        <f t="shared" si="29"/>
        <v>528</v>
      </c>
      <c r="W84" s="125"/>
      <c r="X84" s="280">
        <v>20</v>
      </c>
      <c r="Y84" s="697" t="s">
        <v>561</v>
      </c>
      <c r="Z84" s="698" t="s">
        <v>561</v>
      </c>
      <c r="AA84" s="698" t="s">
        <v>561</v>
      </c>
      <c r="AB84" s="698" t="s">
        <v>561</v>
      </c>
      <c r="AC84" s="698" t="s">
        <v>561</v>
      </c>
      <c r="AD84" s="699" t="s">
        <v>561</v>
      </c>
      <c r="AE84" s="124"/>
      <c r="AF84" s="124"/>
      <c r="AG84" s="79"/>
      <c r="AH84" s="79"/>
      <c r="AI84" s="280">
        <v>20</v>
      </c>
      <c r="AJ84" s="697" t="s">
        <v>561</v>
      </c>
      <c r="AK84" s="698" t="s">
        <v>561</v>
      </c>
      <c r="AL84" s="698" t="s">
        <v>561</v>
      </c>
      <c r="AM84" s="698" t="s">
        <v>561</v>
      </c>
      <c r="AN84" s="698" t="s">
        <v>561</v>
      </c>
      <c r="AO84" s="699" t="s">
        <v>561</v>
      </c>
      <c r="AP84" s="70"/>
      <c r="AQ84" s="70"/>
      <c r="AR84" s="70"/>
      <c r="AS84" s="70"/>
      <c r="AT84" s="70"/>
      <c r="AU84" s="70"/>
      <c r="AV84" s="70"/>
      <c r="AW84" s="70"/>
      <c r="AX84" s="70"/>
      <c r="AY84" s="70"/>
      <c r="AZ84" s="70"/>
      <c r="BA84" s="70"/>
      <c r="BB84" s="70"/>
      <c r="BC84" s="70"/>
      <c r="BD84" s="243"/>
    </row>
    <row r="85" spans="2:57" ht="18" customHeight="1" thickBot="1" x14ac:dyDescent="0.25">
      <c r="B85" s="128">
        <v>14</v>
      </c>
      <c r="C85" s="57" t="s">
        <v>441</v>
      </c>
      <c r="D85" s="859">
        <f>INDEX($Y$216:$AD$219,MATCH($I$13,$X$216:$X$219,0),MATCH($D$69,$Y$215:$AD$215,-1))</f>
        <v>700</v>
      </c>
      <c r="E85" s="859"/>
      <c r="F85" s="859">
        <f>INDEX($Y$222:$AD$225,MATCH($I$13,$X$222:$X$225,0),MATCH($D$69,$Y$221:$AD$221,-1))</f>
        <v>624</v>
      </c>
      <c r="G85" s="37">
        <f>INDEX($AJ$216:$AO$219,MATCH($I$13,$AI$216:$AI$219,0),MATCH($D$69,$AJ$215:$AO$215,-1))</f>
        <v>35</v>
      </c>
      <c r="H85" s="37"/>
      <c r="I85" s="37"/>
      <c r="J85" s="37"/>
      <c r="K85" s="37"/>
      <c r="L85" s="37"/>
      <c r="M85" s="37"/>
      <c r="N85" s="37"/>
      <c r="O85" s="882"/>
      <c r="P85" s="881"/>
      <c r="Q85" s="1071">
        <f t="shared" si="28"/>
        <v>0</v>
      </c>
      <c r="R85" s="117">
        <f>VLOOKUP(D85,$U$77:$V$78,2)</f>
        <v>624</v>
      </c>
      <c r="S85" s="125"/>
      <c r="T85" s="996"/>
      <c r="U85" s="1462">
        <v>230</v>
      </c>
      <c r="V85" s="1459">
        <f t="shared" ref="V85:V86" si="30">2.4*U85</f>
        <v>552</v>
      </c>
      <c r="W85" s="125"/>
      <c r="X85" s="335"/>
      <c r="Y85" s="79"/>
      <c r="Z85" s="79"/>
      <c r="AA85" s="124"/>
      <c r="AB85" s="124"/>
      <c r="AC85" s="124"/>
      <c r="AD85" s="124"/>
      <c r="AE85" s="124"/>
      <c r="AF85" s="124"/>
      <c r="AG85" s="79"/>
      <c r="AH85" s="79"/>
      <c r="AI85" s="79"/>
      <c r="AJ85" s="79"/>
      <c r="AK85" s="79"/>
      <c r="AL85" s="79"/>
      <c r="AM85" s="79"/>
      <c r="AN85" s="79"/>
      <c r="AO85" s="79"/>
      <c r="AP85" s="70"/>
      <c r="AQ85" s="70"/>
      <c r="AR85" s="70"/>
      <c r="AS85" s="70"/>
      <c r="AT85" s="70"/>
      <c r="AU85" s="70"/>
      <c r="AV85" s="70"/>
      <c r="AW85" s="70"/>
      <c r="AX85" s="70"/>
      <c r="AY85" s="70"/>
      <c r="AZ85" s="70"/>
      <c r="BA85" s="70"/>
      <c r="BB85" s="70"/>
      <c r="BC85" s="70"/>
      <c r="BD85" s="243"/>
    </row>
    <row r="86" spans="2:57" ht="18" customHeight="1" thickBot="1" x14ac:dyDescent="0.25">
      <c r="B86" s="128">
        <v>15</v>
      </c>
      <c r="C86" s="57" t="s">
        <v>39</v>
      </c>
      <c r="D86" s="859">
        <f>INDEX($Y$233:$AD$236,MATCH($I$13,$X$233:$X$236,0),MATCH($D$69,$Y$231:$AD$231,-1))</f>
        <v>250</v>
      </c>
      <c r="E86" s="859">
        <f>INDEX($Y$246:$AD$250,MATCH($I$13,$X$246:$X$250,0),MATCH($D$69,$Y$245:$AD$245,-1))</f>
        <v>480</v>
      </c>
      <c r="F86" s="859">
        <f>INDEX($Y$239:$AD$243,MATCH($I$13,$X$239:$X$243,0),MATCH($D$69,$Y$238:$AD$238,-1))</f>
        <v>120</v>
      </c>
      <c r="G86" s="37">
        <f>INDEX($AJ$232:$AO$236,MATCH($I$13,$AI$232:$AI$236,0),MATCH($D$69,$AJ$231:$AO$231,-1))</f>
        <v>15</v>
      </c>
      <c r="H86" s="37"/>
      <c r="I86" s="37"/>
      <c r="J86" s="37"/>
      <c r="K86" s="37"/>
      <c r="L86" s="37"/>
      <c r="M86" s="37"/>
      <c r="N86" s="37"/>
      <c r="O86" s="37"/>
      <c r="P86" s="881"/>
      <c r="Q86" s="1071">
        <f t="shared" si="28"/>
        <v>0</v>
      </c>
      <c r="R86" s="117">
        <f>VLOOKUP(D86,$U$79:$V$87,2)</f>
        <v>552</v>
      </c>
      <c r="S86" s="125"/>
      <c r="T86" s="996"/>
      <c r="U86" s="1462">
        <v>260</v>
      </c>
      <c r="V86" s="1459">
        <f t="shared" si="30"/>
        <v>624</v>
      </c>
      <c r="W86" s="125"/>
      <c r="X86" s="254" t="s">
        <v>1067</v>
      </c>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6"/>
    </row>
    <row r="87" spans="2:57" ht="18" customHeight="1" x14ac:dyDescent="0.2">
      <c r="B87" s="128">
        <v>16</v>
      </c>
      <c r="C87" s="172" t="s">
        <v>200</v>
      </c>
      <c r="D87" s="859">
        <f>INDEX($Y$282:$AD$285,MATCH($I$13,$X$282:$X$285,0),MATCH($D$69,$Y$281:$AD$281,-1))</f>
        <v>453</v>
      </c>
      <c r="E87" s="859"/>
      <c r="F87" s="859"/>
      <c r="G87" s="37"/>
      <c r="H87" s="882"/>
      <c r="I87" s="37">
        <f>INDEX($Y$288:$AD$291,MATCH($I$13,$X$288:$X$291,0),MATCH($D$69,$Y$287:$AD$287,-1))</f>
        <v>4.8499999999999996</v>
      </c>
      <c r="J87" s="882"/>
      <c r="K87" s="882"/>
      <c r="L87" s="882"/>
      <c r="M87" s="882"/>
      <c r="N87" s="37"/>
      <c r="O87" s="37"/>
      <c r="P87" s="881">
        <f>INDEX($AJ$282:$AO$285,MATCH($I$13,$AI$282:$AI$285,0),MATCH($D$69,$AJ$281:$AO$281,-1))</f>
        <v>15.5</v>
      </c>
      <c r="Q87" s="1071">
        <f t="shared" si="28"/>
        <v>0</v>
      </c>
      <c r="R87" s="142">
        <f>VLOOKUP(D87,$U$106:$V$109,2,0)</f>
        <v>4.8499999999999996</v>
      </c>
      <c r="S87" s="125"/>
      <c r="T87" s="222"/>
      <c r="U87" s="1478" t="s">
        <v>561</v>
      </c>
      <c r="V87" s="1479" t="s">
        <v>561</v>
      </c>
      <c r="W87" s="125"/>
      <c r="X87" s="335"/>
      <c r="Y87" s="79"/>
      <c r="Z87" s="79"/>
      <c r="AA87" s="79"/>
      <c r="AB87" s="79"/>
      <c r="AC87" s="79"/>
      <c r="AD87" s="79"/>
      <c r="AE87" s="124"/>
      <c r="AF87" s="124"/>
      <c r="AG87" s="79"/>
      <c r="AH87" s="79"/>
      <c r="AI87" s="79"/>
      <c r="AJ87" s="79"/>
      <c r="AK87" s="79"/>
      <c r="AL87" s="79"/>
      <c r="AM87" s="79"/>
      <c r="AN87" s="79"/>
      <c r="AO87" s="79"/>
      <c r="AP87" s="70"/>
      <c r="AQ87" s="64"/>
      <c r="AR87" s="64"/>
      <c r="AS87" s="70" t="s">
        <v>149</v>
      </c>
      <c r="AT87" s="70"/>
      <c r="AU87" s="70"/>
      <c r="AV87" s="70"/>
      <c r="AW87" s="70"/>
      <c r="AX87" s="70"/>
      <c r="AY87" s="70"/>
      <c r="AZ87" s="70"/>
      <c r="BA87" s="70"/>
      <c r="BB87" s="70"/>
      <c r="BC87" s="70"/>
      <c r="BD87" s="243"/>
    </row>
    <row r="88" spans="2:57" ht="18" customHeight="1" x14ac:dyDescent="0.2">
      <c r="B88" s="128">
        <v>17</v>
      </c>
      <c r="C88" s="57" t="s">
        <v>418</v>
      </c>
      <c r="D88" s="859">
        <f>INDEX($Y$274:$AD$277,MATCH($I$13,$X$274:$X$277,0),MATCH($D$69,$Y$273:$AD$273,-1))</f>
        <v>110</v>
      </c>
      <c r="E88" s="859"/>
      <c r="F88" s="859"/>
      <c r="G88" s="37"/>
      <c r="H88" s="882"/>
      <c r="I88" s="882"/>
      <c r="J88" s="882"/>
      <c r="K88" s="882"/>
      <c r="L88" s="882"/>
      <c r="M88" s="882"/>
      <c r="N88" s="37"/>
      <c r="O88" s="37"/>
      <c r="P88" s="881">
        <f>INDEX($AJ$274:$AO$277,MATCH($I$13,$AI$274:$AI$277,0),MATCH($D$69,$AJ$273:$AO$273,-1))</f>
        <v>17.7</v>
      </c>
      <c r="Q88" s="1071">
        <f t="shared" si="28"/>
        <v>0</v>
      </c>
      <c r="R88" s="142">
        <f>VLOOKUP(D88,$U$102:$V$105,2,0)</f>
        <v>17.7</v>
      </c>
      <c r="T88" s="996" t="s">
        <v>144</v>
      </c>
      <c r="U88" s="1462">
        <v>330</v>
      </c>
      <c r="V88" s="1456">
        <v>297</v>
      </c>
      <c r="X88" s="278" t="s">
        <v>141</v>
      </c>
      <c r="Y88" s="301">
        <v>16</v>
      </c>
      <c r="Z88" s="302">
        <v>12.6</v>
      </c>
      <c r="AA88" s="302">
        <v>10.8</v>
      </c>
      <c r="AB88" s="302">
        <v>7.2</v>
      </c>
      <c r="AC88" s="302">
        <v>5.4</v>
      </c>
      <c r="AD88" s="303">
        <v>3.6</v>
      </c>
      <c r="AE88" s="124"/>
      <c r="AF88" s="124"/>
      <c r="AG88" s="79" t="s">
        <v>150</v>
      </c>
      <c r="AH88" s="79"/>
      <c r="AI88" s="278" t="s">
        <v>151</v>
      </c>
      <c r="AJ88" s="301">
        <v>16</v>
      </c>
      <c r="AK88" s="302">
        <v>12.6</v>
      </c>
      <c r="AL88" s="302">
        <v>10.8</v>
      </c>
      <c r="AM88" s="302">
        <v>7.2</v>
      </c>
      <c r="AN88" s="302">
        <v>5.4</v>
      </c>
      <c r="AO88" s="303">
        <v>3.6</v>
      </c>
      <c r="AP88" s="64"/>
      <c r="AQ88" s="64"/>
      <c r="AR88" s="64"/>
      <c r="AS88" s="154">
        <v>3.6</v>
      </c>
      <c r="AT88" s="154">
        <v>5.4</v>
      </c>
      <c r="AU88" s="154">
        <v>7.2</v>
      </c>
      <c r="AV88" s="154">
        <v>10.8</v>
      </c>
      <c r="AW88" s="154">
        <v>12.6</v>
      </c>
      <c r="AX88" s="151"/>
      <c r="AY88" s="70"/>
      <c r="AZ88" s="70"/>
      <c r="BA88" s="70"/>
      <c r="BB88" s="70"/>
      <c r="BC88" s="70"/>
      <c r="BD88" s="243"/>
    </row>
    <row r="89" spans="2:57" ht="18" customHeight="1" x14ac:dyDescent="0.2">
      <c r="B89" s="128">
        <v>18</v>
      </c>
      <c r="C89" s="57" t="s">
        <v>486</v>
      </c>
      <c r="D89" s="859">
        <f>INDEX($Y$260:$AD$263,MATCH($I$13,$X$260:$X$263,0),MATCH($D$69,$Y$259:$AD$259,-1))</f>
        <v>330</v>
      </c>
      <c r="E89" s="859"/>
      <c r="F89" s="859">
        <f>INDEX($Y$266:$AD$269,MATCH($I$13,$X$266:$X$269,0),MATCH($D$69,$Y$265:$AD$265,-1))</f>
        <v>297</v>
      </c>
      <c r="G89" s="37">
        <f>INDEX($AJ$260:$AO$263,MATCH($I$13,$AI$260:$AI$263,0),MATCH($D$69,$AJ$259:$AO$259,-1))</f>
        <v>0</v>
      </c>
      <c r="H89" s="882"/>
      <c r="I89" s="882"/>
      <c r="J89" s="882"/>
      <c r="K89" s="882"/>
      <c r="L89" s="882"/>
      <c r="M89" s="882"/>
      <c r="N89" s="37"/>
      <c r="O89" s="37"/>
      <c r="P89" s="881"/>
      <c r="Q89" s="1071">
        <f t="shared" si="28"/>
        <v>0</v>
      </c>
      <c r="R89" s="117">
        <f>VLOOKUP(D89,$U$88:$V$94,2)</f>
        <v>297</v>
      </c>
      <c r="T89" s="996"/>
      <c r="U89" s="1462">
        <v>430</v>
      </c>
      <c r="V89" s="1456">
        <v>337</v>
      </c>
      <c r="X89" s="1171">
        <v>5</v>
      </c>
      <c r="Y89" s="692" t="s">
        <v>561</v>
      </c>
      <c r="Z89" s="149">
        <v>450</v>
      </c>
      <c r="AA89" s="149">
        <v>390</v>
      </c>
      <c r="AB89" s="149">
        <v>280</v>
      </c>
      <c r="AC89" s="149">
        <v>230</v>
      </c>
      <c r="AD89" s="226">
        <v>230</v>
      </c>
      <c r="AE89" s="124"/>
      <c r="AF89" s="124"/>
      <c r="AG89" s="79" t="s">
        <v>152</v>
      </c>
      <c r="AH89" s="79"/>
      <c r="AI89" s="1171">
        <v>5</v>
      </c>
      <c r="AJ89" s="692" t="s">
        <v>561</v>
      </c>
      <c r="AK89" s="149">
        <v>37</v>
      </c>
      <c r="AL89" s="149">
        <v>30</v>
      </c>
      <c r="AM89" s="149">
        <v>24</v>
      </c>
      <c r="AN89" s="149">
        <v>19</v>
      </c>
      <c r="AO89" s="226">
        <v>10</v>
      </c>
      <c r="AP89" s="64"/>
      <c r="AQ89" s="64"/>
      <c r="AR89" s="64"/>
      <c r="AS89" s="902">
        <f>(L5*10^6/(0.9*(AD89-$L$12)*$L$14))*10^(-6)*$Q$13/1</f>
        <v>0.81095130826546546</v>
      </c>
      <c r="AT89" s="902">
        <f>(M5*10^6/(0.9*(AC89-$L$12)*$L$14))*10^(-6)*$Q$13/1</f>
        <v>1.8246404435972969</v>
      </c>
      <c r="AU89" s="902">
        <f>(N5*10^6/(0.9*(AB89-$L$12)*$L$14))*10^(-6)*$Q$13/1</f>
        <v>2.592438720398837</v>
      </c>
      <c r="AV89" s="902">
        <f>(O5*10^6/(0.9*(AA89-$L$12)*$L$14))*10^(-6)*$Q$13/1</f>
        <v>4.045720872154452</v>
      </c>
      <c r="AW89" s="902">
        <f>(P5*10^6/(0.9*(Z89-$L$12)*$L$14))*10^(-6)*$Q$13/1</f>
        <v>4.7181301950456742</v>
      </c>
      <c r="AX89" s="151"/>
      <c r="AY89" s="70"/>
      <c r="AZ89" s="70"/>
      <c r="BA89" s="70"/>
      <c r="BB89" s="70"/>
      <c r="BC89" s="70"/>
      <c r="BD89" s="243"/>
    </row>
    <row r="90" spans="2:57" ht="18" customHeight="1" thickBot="1" x14ac:dyDescent="0.25">
      <c r="B90" s="884"/>
      <c r="C90" s="885"/>
      <c r="D90" s="886"/>
      <c r="E90" s="886"/>
      <c r="F90" s="886"/>
      <c r="G90" s="887"/>
      <c r="H90" s="888"/>
      <c r="I90" s="886"/>
      <c r="J90" s="886"/>
      <c r="K90" s="886"/>
      <c r="L90" s="886"/>
      <c r="M90" s="886"/>
      <c r="N90" s="887"/>
      <c r="O90" s="887"/>
      <c r="P90" s="889"/>
      <c r="Q90" s="1072">
        <f t="shared" si="28"/>
        <v>0</v>
      </c>
      <c r="R90" s="135"/>
      <c r="T90" s="996"/>
      <c r="U90" s="1462">
        <v>530</v>
      </c>
      <c r="V90" s="1456">
        <v>379</v>
      </c>
      <c r="X90" s="1171">
        <v>10</v>
      </c>
      <c r="Y90" s="694" t="s">
        <v>561</v>
      </c>
      <c r="Z90" s="149">
        <v>450</v>
      </c>
      <c r="AA90" s="149">
        <v>390</v>
      </c>
      <c r="AB90" s="149">
        <v>280</v>
      </c>
      <c r="AC90" s="149">
        <v>230</v>
      </c>
      <c r="AD90" s="226">
        <v>230</v>
      </c>
      <c r="AE90" s="124"/>
      <c r="AF90" s="124"/>
      <c r="AG90" s="79"/>
      <c r="AH90" s="79"/>
      <c r="AI90" s="1171">
        <v>10</v>
      </c>
      <c r="AJ90" s="694" t="s">
        <v>561</v>
      </c>
      <c r="AK90" s="149">
        <v>45</v>
      </c>
      <c r="AL90" s="149">
        <v>34</v>
      </c>
      <c r="AM90" s="149">
        <v>26</v>
      </c>
      <c r="AN90" s="149">
        <v>20.6</v>
      </c>
      <c r="AO90" s="226">
        <v>10</v>
      </c>
      <c r="AP90" s="64"/>
      <c r="AQ90" s="64"/>
      <c r="AR90" s="64"/>
      <c r="AS90" s="902">
        <f>(L6*10^6/(0.9*(AD90-$L$12)*$L$14))*10^(-6)*$Q$13/1</f>
        <v>1.6219026165309309</v>
      </c>
      <c r="AT90" s="902">
        <f>(M6*10^6/(0.9*(AC90-$L$12)*$L$14))*10^(-6)*$Q$13/1</f>
        <v>3.6492808871945939</v>
      </c>
      <c r="AU90" s="902">
        <f>(N6*10^6/(0.9*(AB90-$L$12)*$L$14))*10^(-6)*$Q$13/1</f>
        <v>5.1848774407976741</v>
      </c>
      <c r="AV90" s="902">
        <f>(O6*10^6/(0.9*(AA90-$L$12)*$L$14))*10^(-6)*$Q$13/1</f>
        <v>8.0914417443089039</v>
      </c>
      <c r="AW90" s="902">
        <f>(P6*10^6/(0.9*(Z90-$L$12)*$L$14))*10^(-6)*$Q$13/1</f>
        <v>9.4362603900913484</v>
      </c>
      <c r="AX90" s="151"/>
      <c r="AY90" s="70"/>
      <c r="AZ90" s="70"/>
      <c r="BA90" s="70"/>
      <c r="BB90" s="70"/>
      <c r="BC90" s="70"/>
      <c r="BD90" s="243"/>
    </row>
    <row r="91" spans="2:57" ht="18" customHeight="1" x14ac:dyDescent="0.2">
      <c r="T91" s="996"/>
      <c r="U91" s="1462">
        <v>630</v>
      </c>
      <c r="V91" s="1456">
        <v>423</v>
      </c>
      <c r="X91" s="1171">
        <v>15</v>
      </c>
      <c r="Y91" s="694" t="s">
        <v>561</v>
      </c>
      <c r="Z91" s="149">
        <v>450</v>
      </c>
      <c r="AA91" s="149">
        <v>450</v>
      </c>
      <c r="AB91" s="149">
        <v>340</v>
      </c>
      <c r="AC91" s="149">
        <v>230</v>
      </c>
      <c r="AD91" s="226">
        <v>230</v>
      </c>
      <c r="AE91" s="124"/>
      <c r="AF91" s="124"/>
      <c r="AG91" s="79"/>
      <c r="AH91" s="79"/>
      <c r="AI91" s="1171">
        <v>15</v>
      </c>
      <c r="AJ91" s="694" t="s">
        <v>561</v>
      </c>
      <c r="AK91" s="149">
        <v>50</v>
      </c>
      <c r="AL91" s="149">
        <v>36.5</v>
      </c>
      <c r="AM91" s="149">
        <v>29.3</v>
      </c>
      <c r="AN91" s="149">
        <v>22.6</v>
      </c>
      <c r="AO91" s="226">
        <v>15</v>
      </c>
      <c r="AP91" s="64"/>
      <c r="AQ91" s="64"/>
      <c r="AR91" s="64"/>
      <c r="AS91" s="902">
        <f>(L7*10^6/(0.9*(AD91-$L$12)*$L$14))*10^(-6)*$Q$13/1</f>
        <v>2.4328539247963961</v>
      </c>
      <c r="AT91" s="902">
        <f>(M7*10^6/(0.9*(AC91-$L$12)*$L$14))*10^(-6)*$Q$13/1</f>
        <v>5.4739213307918906</v>
      </c>
      <c r="AU91" s="902">
        <f>(N7*10^6/(0.9*(AB91-$L$12)*$L$14))*10^(-6)*$Q$13/1</f>
        <v>6.2671576832942746</v>
      </c>
      <c r="AV91" s="902">
        <f>(O7*10^6/(0.9*(AA91-$L$12)*$L$14))*10^(-6)*$Q$13/1</f>
        <v>10.399144103365979</v>
      </c>
      <c r="AW91" s="902">
        <f>(P7*10^6/(0.9*(Z91-$L$12)*$L$14))*10^(-6)*$Q$13/1</f>
        <v>14.154390585137024</v>
      </c>
      <c r="AX91" s="151"/>
      <c r="AY91" s="70"/>
      <c r="AZ91" s="70"/>
      <c r="BA91" s="70"/>
      <c r="BB91" s="70"/>
      <c r="BC91" s="70"/>
      <c r="BD91" s="243"/>
    </row>
    <row r="92" spans="2:57" ht="18" customHeight="1" x14ac:dyDescent="0.2">
      <c r="T92" s="996"/>
      <c r="U92" s="1462">
        <v>730</v>
      </c>
      <c r="V92" s="1456">
        <v>468</v>
      </c>
      <c r="X92" s="280">
        <v>20</v>
      </c>
      <c r="Y92" s="697" t="s">
        <v>561</v>
      </c>
      <c r="Z92" s="698" t="s">
        <v>561</v>
      </c>
      <c r="AA92" s="698" t="s">
        <v>561</v>
      </c>
      <c r="AB92" s="698" t="s">
        <v>561</v>
      </c>
      <c r="AC92" s="698" t="s">
        <v>561</v>
      </c>
      <c r="AD92" s="699" t="s">
        <v>561</v>
      </c>
      <c r="AE92" s="124"/>
      <c r="AF92" s="124"/>
      <c r="AG92" s="79"/>
      <c r="AH92" s="79"/>
      <c r="AI92" s="280"/>
      <c r="AJ92" s="697"/>
      <c r="AK92" s="227"/>
      <c r="AL92" s="227"/>
      <c r="AM92" s="227"/>
      <c r="AN92" s="227"/>
      <c r="AO92" s="228"/>
      <c r="AP92" s="64"/>
      <c r="AQ92" s="64"/>
      <c r="AR92" s="64"/>
      <c r="AS92" s="902" t="e">
        <f>(L8*10^6/(0.9*(AD92-$L$12)*$L$14))*10^(-6)*$Q$13/1</f>
        <v>#VALUE!</v>
      </c>
      <c r="AT92" s="902" t="e">
        <f>(M8*10^6/(0.9*(AC92-$L$12)*$L$14))*10^(-6)*$Q$13/1</f>
        <v>#VALUE!</v>
      </c>
      <c r="AU92" s="902" t="e">
        <f>(N8*10^6/(0.9*(AB92-$L$12)*$L$14))*10^(-6)*$Q$13/1</f>
        <v>#VALUE!</v>
      </c>
      <c r="AV92" s="902" t="e">
        <f>(O8*10^6/(0.9*(AA92-$L$12)*$L$14))*10^(-6)*$Q$13/1</f>
        <v>#VALUE!</v>
      </c>
      <c r="AW92" s="902" t="e">
        <f>(P8*10^6/(0.9*(Z92-$L$12)*$L$14))*10^(-6)*$Q$13/1</f>
        <v>#VALUE!</v>
      </c>
      <c r="AX92" s="151"/>
      <c r="AY92" s="70"/>
      <c r="AZ92" s="70"/>
      <c r="BA92" s="70"/>
      <c r="BB92" s="70"/>
      <c r="BC92" s="70"/>
      <c r="BD92" s="243"/>
    </row>
    <row r="93" spans="2:57" ht="18" customHeight="1" x14ac:dyDescent="0.2">
      <c r="T93" s="996"/>
      <c r="U93" s="1462">
        <v>830</v>
      </c>
      <c r="V93" s="1456">
        <v>516</v>
      </c>
      <c r="X93" s="335"/>
      <c r="Y93" s="79"/>
      <c r="Z93" s="79"/>
      <c r="AA93" s="79"/>
      <c r="AB93" s="79"/>
      <c r="AC93" s="79"/>
      <c r="AD93" s="79"/>
      <c r="AE93" s="124"/>
      <c r="AF93" s="124"/>
      <c r="AG93" s="79"/>
      <c r="AH93" s="79"/>
      <c r="AI93" s="79"/>
      <c r="AJ93" s="79"/>
      <c r="AK93" s="79"/>
      <c r="AL93" s="79"/>
      <c r="AM93" s="79"/>
      <c r="AN93" s="79"/>
      <c r="AO93" s="79"/>
      <c r="AP93" s="64"/>
      <c r="AQ93" s="320"/>
      <c r="AR93" s="320"/>
      <c r="AS93" s="320"/>
      <c r="AT93" s="320"/>
      <c r="AU93" s="320"/>
      <c r="AV93" s="151"/>
      <c r="AW93" s="70"/>
      <c r="AX93" s="70"/>
      <c r="AY93" s="70"/>
      <c r="AZ93" s="70"/>
      <c r="BA93" s="70"/>
      <c r="BB93" s="70"/>
      <c r="BC93" s="70"/>
      <c r="BD93" s="243"/>
    </row>
    <row r="94" spans="2:57" ht="18" customHeight="1" x14ac:dyDescent="0.2">
      <c r="T94" s="996"/>
      <c r="U94" s="1462" t="s">
        <v>561</v>
      </c>
      <c r="V94" s="1456" t="s">
        <v>561</v>
      </c>
      <c r="X94" s="278" t="s">
        <v>855</v>
      </c>
      <c r="Y94" s="301">
        <v>16</v>
      </c>
      <c r="Z94" s="302">
        <v>12.6</v>
      </c>
      <c r="AA94" s="302">
        <v>10.8</v>
      </c>
      <c r="AB94" s="302">
        <v>7.2</v>
      </c>
      <c r="AC94" s="302">
        <v>5.4</v>
      </c>
      <c r="AD94" s="303">
        <v>3.6</v>
      </c>
      <c r="AE94" s="124"/>
      <c r="AF94" s="124"/>
      <c r="AG94" s="79" t="s">
        <v>153</v>
      </c>
      <c r="AH94" s="79"/>
      <c r="AI94" s="278" t="s">
        <v>154</v>
      </c>
      <c r="AJ94" s="301">
        <v>16</v>
      </c>
      <c r="AK94" s="302">
        <v>12.6</v>
      </c>
      <c r="AL94" s="302">
        <v>10.8</v>
      </c>
      <c r="AM94" s="302">
        <v>7.2</v>
      </c>
      <c r="AN94" s="302">
        <v>5.4</v>
      </c>
      <c r="AO94" s="303">
        <v>3.6</v>
      </c>
      <c r="AP94" s="64"/>
      <c r="AQ94" s="151"/>
      <c r="AR94" s="151"/>
      <c r="AS94" s="151"/>
      <c r="AT94" s="151"/>
      <c r="AU94" s="151"/>
      <c r="AV94" s="151"/>
      <c r="AW94" s="70"/>
      <c r="AX94" s="70"/>
      <c r="AY94" s="70"/>
      <c r="AZ94" s="70"/>
      <c r="BA94" s="70"/>
      <c r="BB94" s="70"/>
      <c r="BC94" s="70"/>
      <c r="BD94" s="243"/>
    </row>
    <row r="95" spans="2:57" ht="18" customHeight="1" x14ac:dyDescent="0.2">
      <c r="T95" s="1468" t="s">
        <v>442</v>
      </c>
      <c r="U95" s="1472">
        <v>153</v>
      </c>
      <c r="V95" s="1473">
        <v>77</v>
      </c>
      <c r="X95" s="1171">
        <v>5</v>
      </c>
      <c r="Y95" s="692" t="s">
        <v>561</v>
      </c>
      <c r="Z95" s="305">
        <v>168</v>
      </c>
      <c r="AA95" s="305">
        <v>168</v>
      </c>
      <c r="AB95" s="305">
        <v>168</v>
      </c>
      <c r="AC95" s="305">
        <v>168</v>
      </c>
      <c r="AD95" s="306">
        <v>168</v>
      </c>
      <c r="AE95" s="124"/>
      <c r="AF95" s="124"/>
      <c r="AG95" s="79"/>
      <c r="AH95" s="79"/>
      <c r="AI95" s="1171">
        <v>5</v>
      </c>
      <c r="AJ95" s="692" t="s">
        <v>561</v>
      </c>
      <c r="AK95" s="149">
        <v>3.5</v>
      </c>
      <c r="AL95" s="149">
        <v>3.2</v>
      </c>
      <c r="AM95" s="149">
        <v>2.4</v>
      </c>
      <c r="AN95" s="149">
        <v>2.4</v>
      </c>
      <c r="AO95" s="226">
        <v>2.4</v>
      </c>
      <c r="AP95" s="64"/>
      <c r="AQ95" s="70"/>
      <c r="AR95" s="70"/>
      <c r="AS95" s="70"/>
      <c r="AT95" s="70"/>
      <c r="AU95" s="70"/>
      <c r="AV95" s="70"/>
      <c r="AW95" s="70"/>
      <c r="AX95" s="70"/>
      <c r="AY95" s="70"/>
      <c r="AZ95" s="70"/>
      <c r="BA95" s="70"/>
      <c r="BB95" s="70"/>
      <c r="BC95" s="70"/>
      <c r="BD95" s="243"/>
    </row>
    <row r="96" spans="2:57" ht="18" customHeight="1" x14ac:dyDescent="0.2">
      <c r="T96" s="1458"/>
      <c r="U96" s="1464">
        <v>201</v>
      </c>
      <c r="V96" s="1460">
        <v>101</v>
      </c>
      <c r="X96" s="1171">
        <v>10</v>
      </c>
      <c r="Y96" s="694" t="s">
        <v>561</v>
      </c>
      <c r="Z96" s="149">
        <v>168</v>
      </c>
      <c r="AA96" s="149">
        <v>168</v>
      </c>
      <c r="AB96" s="149">
        <v>168</v>
      </c>
      <c r="AC96" s="149">
        <v>168</v>
      </c>
      <c r="AD96" s="226">
        <v>168</v>
      </c>
      <c r="AE96" s="124"/>
      <c r="AF96" s="124"/>
      <c r="AG96" s="79"/>
      <c r="AH96" s="79"/>
      <c r="AI96" s="1171">
        <v>10</v>
      </c>
      <c r="AJ96" s="694" t="s">
        <v>561</v>
      </c>
      <c r="AK96" s="149">
        <v>3.5</v>
      </c>
      <c r="AL96" s="149">
        <v>3.2</v>
      </c>
      <c r="AM96" s="149">
        <v>2.7</v>
      </c>
      <c r="AN96" s="149">
        <v>2.4</v>
      </c>
      <c r="AO96" s="226">
        <v>2.4</v>
      </c>
      <c r="AP96" s="64"/>
      <c r="AQ96" s="70"/>
      <c r="AR96" s="70"/>
      <c r="AS96" s="70"/>
      <c r="AT96" s="70"/>
      <c r="AU96" s="70"/>
      <c r="AV96" s="70"/>
      <c r="AW96" s="70"/>
      <c r="AX96" s="70"/>
      <c r="AY96" s="70"/>
      <c r="AZ96" s="70"/>
      <c r="BA96" s="70"/>
      <c r="BB96" s="70"/>
      <c r="BC96" s="70"/>
      <c r="BD96" s="243"/>
    </row>
    <row r="97" spans="2:62" ht="18" customHeight="1" x14ac:dyDescent="0.2">
      <c r="B97" s="52"/>
      <c r="C97" s="57"/>
      <c r="D97" s="131"/>
      <c r="E97" s="131"/>
      <c r="F97" s="131"/>
      <c r="G97" s="131"/>
      <c r="H97" s="801"/>
      <c r="I97" s="131"/>
      <c r="J97" s="131"/>
      <c r="K97" s="131"/>
      <c r="L97" s="131"/>
      <c r="M97" s="131"/>
      <c r="N97" s="37"/>
      <c r="O97" s="37"/>
      <c r="P97" s="37"/>
      <c r="Q97" s="1220"/>
      <c r="R97" s="125"/>
      <c r="T97" s="1458"/>
      <c r="U97" s="1464">
        <v>264</v>
      </c>
      <c r="V97" s="1460">
        <v>132</v>
      </c>
      <c r="X97" s="1171">
        <v>15</v>
      </c>
      <c r="Y97" s="694" t="s">
        <v>561</v>
      </c>
      <c r="Z97" s="149">
        <v>168</v>
      </c>
      <c r="AA97" s="149">
        <v>168</v>
      </c>
      <c r="AB97" s="149">
        <v>168</v>
      </c>
      <c r="AC97" s="149">
        <v>168</v>
      </c>
      <c r="AD97" s="226">
        <v>168</v>
      </c>
      <c r="AE97" s="124"/>
      <c r="AF97" s="124"/>
      <c r="AG97" s="79"/>
      <c r="AH97" s="79"/>
      <c r="AI97" s="1171">
        <v>15</v>
      </c>
      <c r="AJ97" s="694" t="s">
        <v>561</v>
      </c>
      <c r="AK97" s="149">
        <v>3.5</v>
      </c>
      <c r="AL97" s="149">
        <v>3.5</v>
      </c>
      <c r="AM97" s="149">
        <v>2.7</v>
      </c>
      <c r="AN97" s="149">
        <v>2.4</v>
      </c>
      <c r="AO97" s="226">
        <v>2.4</v>
      </c>
      <c r="AP97" s="64"/>
      <c r="AQ97" s="70"/>
      <c r="AR97" s="70"/>
      <c r="AS97" s="70"/>
      <c r="AT97" s="70"/>
      <c r="AU97" s="70"/>
      <c r="AV97" s="70"/>
      <c r="AW97" s="70"/>
      <c r="AX97" s="70"/>
      <c r="AY97" s="70"/>
      <c r="AZ97" s="70"/>
      <c r="BA97" s="70"/>
      <c r="BB97" s="70"/>
      <c r="BC97" s="70"/>
      <c r="BD97" s="243"/>
    </row>
    <row r="98" spans="2:62" ht="18" customHeight="1" x14ac:dyDescent="0.2">
      <c r="B98" s="52"/>
      <c r="C98" s="57"/>
      <c r="D98" s="859"/>
      <c r="E98" s="859"/>
      <c r="F98" s="859"/>
      <c r="G98" s="37"/>
      <c r="H98" s="47"/>
      <c r="I98" s="859"/>
      <c r="J98" s="859"/>
      <c r="K98" s="859"/>
      <c r="L98" s="859"/>
      <c r="M98" s="859"/>
      <c r="N98" s="37"/>
      <c r="O98" s="37"/>
      <c r="P98" s="37"/>
      <c r="Q98" s="1220"/>
      <c r="R98" s="125"/>
      <c r="T98" s="1458"/>
      <c r="U98" s="1464">
        <v>165</v>
      </c>
      <c r="V98" s="1460">
        <v>83</v>
      </c>
      <c r="X98" s="280"/>
      <c r="Y98" s="697"/>
      <c r="Z98" s="227"/>
      <c r="AA98" s="227"/>
      <c r="AB98" s="227"/>
      <c r="AC98" s="227"/>
      <c r="AD98" s="228"/>
      <c r="AE98" s="124"/>
      <c r="AF98" s="124"/>
      <c r="AG98" s="79"/>
      <c r="AH98" s="79"/>
      <c r="AI98" s="280"/>
      <c r="AJ98" s="697"/>
      <c r="AK98" s="227"/>
      <c r="AL98" s="227"/>
      <c r="AM98" s="227"/>
      <c r="AN98" s="227"/>
      <c r="AO98" s="228"/>
      <c r="AP98" s="64"/>
      <c r="AQ98" s="70"/>
      <c r="AR98" s="70"/>
      <c r="AS98" s="70"/>
      <c r="AT98" s="70"/>
      <c r="AU98" s="70"/>
      <c r="AV98" s="70"/>
      <c r="AW98" s="70"/>
      <c r="AX98" s="70"/>
      <c r="AY98" s="70"/>
      <c r="AZ98" s="70"/>
      <c r="BA98" s="70"/>
      <c r="BB98" s="70"/>
      <c r="BC98" s="70"/>
      <c r="BD98" s="243"/>
    </row>
    <row r="99" spans="2:62" ht="18" customHeight="1" x14ac:dyDescent="0.2">
      <c r="B99" s="64"/>
      <c r="C99" s="64"/>
      <c r="D99" s="64"/>
      <c r="E99" s="64"/>
      <c r="F99" s="64"/>
      <c r="G99" s="64"/>
      <c r="H99" s="64"/>
      <c r="I99" s="64"/>
      <c r="J99" s="64"/>
      <c r="K99" s="64"/>
      <c r="L99" s="64"/>
      <c r="M99" s="64"/>
      <c r="N99" s="64"/>
      <c r="O99" s="64"/>
      <c r="P99" s="64"/>
      <c r="Q99" s="57"/>
      <c r="R99" s="57"/>
      <c r="T99" s="1458"/>
      <c r="U99" s="1464">
        <v>219</v>
      </c>
      <c r="V99" s="1460">
        <v>110</v>
      </c>
      <c r="X99" s="335"/>
      <c r="Y99" s="79"/>
      <c r="Z99" s="79"/>
      <c r="AA99" s="79"/>
      <c r="AB99" s="79"/>
      <c r="AC99" s="79"/>
      <c r="AD99" s="79"/>
      <c r="AE99" s="124"/>
      <c r="AF99" s="124"/>
      <c r="AG99" s="79"/>
      <c r="AH99" s="79"/>
      <c r="AI99" s="79"/>
      <c r="AJ99" s="79"/>
      <c r="AK99" s="79"/>
      <c r="AL99" s="79"/>
      <c r="AM99" s="79"/>
      <c r="AN99" s="79"/>
      <c r="AO99" s="79"/>
      <c r="AP99" s="64"/>
      <c r="AQ99" s="70"/>
      <c r="AR99" s="70"/>
      <c r="AS99" s="70"/>
      <c r="AT99" s="70"/>
      <c r="AU99" s="70"/>
      <c r="AV99" s="70"/>
      <c r="AW99" s="70"/>
      <c r="AX99" s="70"/>
      <c r="AY99" s="70"/>
      <c r="AZ99" s="70"/>
      <c r="BA99" s="70"/>
      <c r="BB99" s="70"/>
      <c r="BC99" s="70"/>
      <c r="BD99" s="243"/>
    </row>
    <row r="100" spans="2:62" ht="18" customHeight="1" x14ac:dyDescent="0.2">
      <c r="B100" s="64"/>
      <c r="C100" s="64"/>
      <c r="D100" s="64"/>
      <c r="E100" s="64"/>
      <c r="F100" s="64"/>
      <c r="G100" s="64"/>
      <c r="H100" s="64"/>
      <c r="I100" s="64"/>
      <c r="J100" s="64"/>
      <c r="K100" s="64"/>
      <c r="L100" s="64"/>
      <c r="M100" s="64"/>
      <c r="N100" s="64"/>
      <c r="O100" s="64"/>
      <c r="P100" s="64"/>
      <c r="Q100" s="57"/>
      <c r="R100" s="57"/>
      <c r="T100" s="1458"/>
      <c r="U100" s="1465">
        <v>297</v>
      </c>
      <c r="V100" s="1460">
        <v>149</v>
      </c>
      <c r="X100" s="278" t="s">
        <v>856</v>
      </c>
      <c r="Y100" s="301">
        <v>16</v>
      </c>
      <c r="Z100" s="302">
        <v>12.6</v>
      </c>
      <c r="AA100" s="302">
        <v>10.8</v>
      </c>
      <c r="AB100" s="302">
        <v>7.2</v>
      </c>
      <c r="AC100" s="302">
        <v>5.4</v>
      </c>
      <c r="AD100" s="303">
        <v>3.6</v>
      </c>
      <c r="AE100" s="124"/>
      <c r="AF100" s="124"/>
      <c r="AG100" s="79"/>
      <c r="AH100" s="79"/>
      <c r="AI100" s="278" t="s">
        <v>155</v>
      </c>
      <c r="AJ100" s="301">
        <v>16</v>
      </c>
      <c r="AK100" s="302">
        <v>12.6</v>
      </c>
      <c r="AL100" s="302">
        <v>10.8</v>
      </c>
      <c r="AM100" s="302">
        <v>7.2</v>
      </c>
      <c r="AN100" s="302">
        <v>5.4</v>
      </c>
      <c r="AO100" s="303">
        <v>3.6</v>
      </c>
      <c r="AP100" s="64"/>
      <c r="AQ100" s="70"/>
      <c r="AR100" s="70"/>
      <c r="AS100" s="70"/>
      <c r="AT100" s="70"/>
      <c r="AU100" s="70"/>
      <c r="AV100" s="70"/>
      <c r="AW100" s="70"/>
      <c r="AX100" s="70"/>
      <c r="AY100" s="70"/>
      <c r="AZ100" s="70"/>
      <c r="BA100" s="70"/>
      <c r="BB100" s="70"/>
      <c r="BC100" s="70"/>
      <c r="BD100" s="243"/>
    </row>
    <row r="101" spans="2:62" ht="18" customHeight="1" x14ac:dyDescent="0.2">
      <c r="B101" s="64"/>
      <c r="C101" s="64"/>
      <c r="D101" s="64"/>
      <c r="E101" s="64"/>
      <c r="F101" s="64"/>
      <c r="G101" s="64"/>
      <c r="H101" s="64"/>
      <c r="I101" s="64"/>
      <c r="J101" s="64"/>
      <c r="K101" s="64"/>
      <c r="L101" s="64"/>
      <c r="M101" s="64"/>
      <c r="N101" s="64"/>
      <c r="O101" s="64"/>
      <c r="P101" s="64"/>
      <c r="Q101" s="57"/>
      <c r="R101" s="57"/>
      <c r="T101" s="1474"/>
      <c r="U101" s="1475" t="s">
        <v>561</v>
      </c>
      <c r="V101" s="1476" t="s">
        <v>561</v>
      </c>
      <c r="X101" s="1171">
        <v>5</v>
      </c>
      <c r="Y101" s="692" t="s">
        <v>561</v>
      </c>
      <c r="Z101" s="305">
        <f>(Z89-70)*2500*0.85*0.001</f>
        <v>807.5</v>
      </c>
      <c r="AA101" s="305">
        <f t="shared" ref="AA101:AD101" si="31">(AA89-70)*2500*0.85*0.001</f>
        <v>680</v>
      </c>
      <c r="AB101" s="305">
        <f t="shared" si="31"/>
        <v>446.25</v>
      </c>
      <c r="AC101" s="305">
        <f t="shared" si="31"/>
        <v>340</v>
      </c>
      <c r="AD101" s="306">
        <f t="shared" si="31"/>
        <v>340</v>
      </c>
      <c r="AE101" s="124"/>
      <c r="AF101" s="124"/>
      <c r="AG101" s="79"/>
      <c r="AH101" s="79"/>
      <c r="AI101" s="1171">
        <v>5</v>
      </c>
      <c r="AJ101" s="692" t="s">
        <v>561</v>
      </c>
      <c r="AK101" s="149">
        <v>3.9</v>
      </c>
      <c r="AL101" s="149">
        <v>4.2300000000000004</v>
      </c>
      <c r="AM101" s="149">
        <v>3.25</v>
      </c>
      <c r="AN101" s="149">
        <v>3.25</v>
      </c>
      <c r="AO101" s="226">
        <v>3.25</v>
      </c>
      <c r="AP101" s="64"/>
      <c r="AQ101" s="70"/>
      <c r="AR101" s="70"/>
      <c r="AS101" s="70"/>
      <c r="AT101" s="70"/>
      <c r="AU101" s="70"/>
      <c r="AV101" s="70"/>
      <c r="AW101" s="70"/>
      <c r="AX101" s="70"/>
      <c r="AY101" s="70"/>
      <c r="AZ101" s="70"/>
      <c r="BA101" s="70"/>
      <c r="BB101" s="70"/>
      <c r="BC101" s="70"/>
      <c r="BD101" s="243"/>
    </row>
    <row r="102" spans="2:62" ht="18" customHeight="1" x14ac:dyDescent="0.2">
      <c r="T102" s="1471" t="s">
        <v>418</v>
      </c>
      <c r="U102" s="1466">
        <v>70</v>
      </c>
      <c r="V102" s="1161">
        <v>12.3</v>
      </c>
      <c r="X102" s="1171">
        <v>10</v>
      </c>
      <c r="Y102" s="694" t="s">
        <v>561</v>
      </c>
      <c r="Z102" s="149">
        <f t="shared" ref="Z102:AD102" si="32">(Z90-70)*2500*0.85*0.001</f>
        <v>807.5</v>
      </c>
      <c r="AA102" s="149">
        <f t="shared" si="32"/>
        <v>680</v>
      </c>
      <c r="AB102" s="149">
        <f t="shared" si="32"/>
        <v>446.25</v>
      </c>
      <c r="AC102" s="149">
        <f t="shared" si="32"/>
        <v>340</v>
      </c>
      <c r="AD102" s="226">
        <f t="shared" si="32"/>
        <v>340</v>
      </c>
      <c r="AE102" s="124"/>
      <c r="AF102" s="124"/>
      <c r="AG102" s="79"/>
      <c r="AH102" s="79"/>
      <c r="AI102" s="1171">
        <v>10</v>
      </c>
      <c r="AJ102" s="694" t="s">
        <v>561</v>
      </c>
      <c r="AK102" s="149">
        <v>3.9</v>
      </c>
      <c r="AL102" s="149">
        <v>4.2300000000000004</v>
      </c>
      <c r="AM102" s="149">
        <v>3.67</v>
      </c>
      <c r="AN102" s="149">
        <v>3.25</v>
      </c>
      <c r="AO102" s="226">
        <v>3.25</v>
      </c>
      <c r="AP102" s="64"/>
      <c r="AQ102" s="70"/>
      <c r="AR102" s="70"/>
      <c r="AS102" s="70"/>
      <c r="AT102" s="70"/>
      <c r="AU102" s="70"/>
      <c r="AV102" s="70"/>
      <c r="AW102" s="70"/>
      <c r="AX102" s="70"/>
      <c r="AY102" s="70"/>
      <c r="AZ102" s="70"/>
      <c r="BA102" s="70"/>
      <c r="BB102" s="70"/>
      <c r="BC102" s="70"/>
      <c r="BD102" s="243"/>
    </row>
    <row r="103" spans="2:62" ht="18" customHeight="1" x14ac:dyDescent="0.2">
      <c r="T103" s="809"/>
      <c r="U103" s="1466">
        <v>110</v>
      </c>
      <c r="V103" s="1161">
        <v>17.7</v>
      </c>
      <c r="X103" s="1171">
        <v>15</v>
      </c>
      <c r="Y103" s="694" t="s">
        <v>561</v>
      </c>
      <c r="Z103" s="149">
        <f t="shared" ref="Z103:AD103" si="33">(Z91-70)*2500*0.85*0.001</f>
        <v>807.5</v>
      </c>
      <c r="AA103" s="149">
        <f t="shared" si="33"/>
        <v>807.5</v>
      </c>
      <c r="AB103" s="149">
        <f t="shared" si="33"/>
        <v>573.75</v>
      </c>
      <c r="AC103" s="149">
        <f t="shared" si="33"/>
        <v>340</v>
      </c>
      <c r="AD103" s="226">
        <f t="shared" si="33"/>
        <v>340</v>
      </c>
      <c r="AE103" s="124"/>
      <c r="AF103" s="124"/>
      <c r="AG103" s="79"/>
      <c r="AH103" s="79"/>
      <c r="AI103" s="1171">
        <v>15</v>
      </c>
      <c r="AJ103" s="694" t="s">
        <v>561</v>
      </c>
      <c r="AK103" s="149">
        <v>3.9</v>
      </c>
      <c r="AL103" s="149">
        <v>3.9</v>
      </c>
      <c r="AM103" s="149">
        <v>3.67</v>
      </c>
      <c r="AN103" s="149">
        <v>3.25</v>
      </c>
      <c r="AO103" s="226">
        <v>3.25</v>
      </c>
      <c r="AP103" s="64"/>
      <c r="AQ103" s="70"/>
      <c r="AR103" s="70"/>
      <c r="AS103" s="70"/>
      <c r="AT103" s="70"/>
      <c r="AU103" s="70"/>
      <c r="AV103" s="70"/>
      <c r="AW103" s="70"/>
      <c r="AX103" s="70"/>
      <c r="AY103" s="70"/>
      <c r="AZ103" s="70"/>
      <c r="BA103" s="70"/>
      <c r="BB103" s="70"/>
      <c r="BC103" s="70"/>
      <c r="BD103" s="243"/>
    </row>
    <row r="104" spans="2:62" ht="18" customHeight="1" x14ac:dyDescent="0.2">
      <c r="T104" s="996"/>
      <c r="U104" s="1462">
        <v>153</v>
      </c>
      <c r="V104" s="1456">
        <v>21.3</v>
      </c>
      <c r="X104" s="280"/>
      <c r="Y104" s="697"/>
      <c r="Z104" s="227"/>
      <c r="AA104" s="227"/>
      <c r="AB104" s="227"/>
      <c r="AC104" s="227"/>
      <c r="AD104" s="228"/>
      <c r="AE104" s="124"/>
      <c r="AF104" s="124"/>
      <c r="AG104" s="79"/>
      <c r="AH104" s="79"/>
      <c r="AI104" s="280"/>
      <c r="AJ104" s="697"/>
      <c r="AK104" s="227"/>
      <c r="AL104" s="227"/>
      <c r="AM104" s="227"/>
      <c r="AN104" s="227"/>
      <c r="AO104" s="228"/>
      <c r="AP104" s="64"/>
      <c r="AQ104" s="70"/>
      <c r="AR104" s="70"/>
      <c r="AS104" s="70"/>
      <c r="AT104" s="70"/>
      <c r="AU104" s="70"/>
      <c r="AV104" s="70"/>
      <c r="AW104" s="70"/>
      <c r="AX104" s="70"/>
      <c r="AY104" s="70"/>
      <c r="AZ104" s="70"/>
      <c r="BA104" s="70"/>
      <c r="BB104" s="70"/>
      <c r="BC104" s="70"/>
      <c r="BD104" s="243"/>
    </row>
    <row r="105" spans="2:62" ht="18" customHeight="1" thickBot="1" x14ac:dyDescent="0.25">
      <c r="T105" s="809"/>
      <c r="U105" s="1466" t="s">
        <v>561</v>
      </c>
      <c r="V105" s="1161" t="s">
        <v>561</v>
      </c>
      <c r="X105" s="335"/>
      <c r="Y105" s="79"/>
      <c r="Z105" s="79"/>
      <c r="AA105" s="79"/>
      <c r="AB105" s="79"/>
      <c r="AC105" s="79"/>
      <c r="AD105" s="124"/>
      <c r="AE105" s="124"/>
      <c r="AF105" s="124"/>
      <c r="AG105" s="79"/>
      <c r="AH105" s="79"/>
      <c r="AI105" s="79"/>
      <c r="AJ105" s="79"/>
      <c r="AK105" s="79"/>
      <c r="AL105" s="79"/>
      <c r="AM105" s="79"/>
      <c r="AN105" s="79"/>
      <c r="AO105" s="79"/>
      <c r="AP105" s="70"/>
      <c r="AQ105" s="70"/>
      <c r="AR105" s="70"/>
      <c r="AS105" s="70"/>
      <c r="AT105" s="70"/>
      <c r="AU105" s="70"/>
      <c r="AV105" s="70"/>
      <c r="AW105" s="70"/>
      <c r="AX105" s="70"/>
      <c r="AY105" s="70"/>
      <c r="AZ105" s="70"/>
      <c r="BA105" s="70"/>
      <c r="BB105" s="70"/>
      <c r="BC105" s="70"/>
      <c r="BD105" s="243"/>
    </row>
    <row r="106" spans="2:62" ht="18" customHeight="1" thickBot="1" x14ac:dyDescent="0.25">
      <c r="T106" s="1468" t="s">
        <v>200</v>
      </c>
      <c r="U106" s="1469">
        <v>373</v>
      </c>
      <c r="V106" s="1470">
        <v>3.48</v>
      </c>
      <c r="X106" s="254" t="s">
        <v>845</v>
      </c>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6"/>
    </row>
    <row r="107" spans="2:62" ht="18" customHeight="1" x14ac:dyDescent="0.2">
      <c r="T107" s="809"/>
      <c r="U107" s="1466">
        <v>453</v>
      </c>
      <c r="V107" s="321">
        <v>4.8499999999999996</v>
      </c>
      <c r="X107" s="336"/>
      <c r="Y107" s="66"/>
      <c r="Z107" s="79"/>
      <c r="AA107" s="79"/>
      <c r="AB107" s="79"/>
      <c r="AC107" s="79"/>
      <c r="AD107" s="79"/>
      <c r="AE107" s="124"/>
      <c r="AF107" s="124"/>
      <c r="AG107" s="66"/>
      <c r="AH107" s="79"/>
      <c r="AI107" s="148"/>
      <c r="AJ107" s="148"/>
      <c r="AK107" s="148"/>
      <c r="AL107" s="148"/>
      <c r="AM107" s="79"/>
      <c r="AN107" s="154"/>
      <c r="AO107" s="154"/>
      <c r="AP107" s="154"/>
      <c r="AQ107" s="154"/>
      <c r="AR107" s="148"/>
      <c r="AS107" s="79"/>
      <c r="AT107" s="79"/>
      <c r="AU107" s="79"/>
      <c r="AV107" s="79"/>
      <c r="AW107" s="66"/>
      <c r="AX107" s="79"/>
      <c r="AY107" s="79"/>
      <c r="AZ107" s="79"/>
      <c r="BA107" s="79"/>
      <c r="BB107" s="79"/>
      <c r="BC107" s="66"/>
      <c r="BD107" s="323"/>
    </row>
    <row r="108" spans="2:62" ht="18" customHeight="1" x14ac:dyDescent="0.2">
      <c r="T108" s="996"/>
      <c r="U108" s="1462">
        <v>553</v>
      </c>
      <c r="V108" s="1456">
        <v>7.8</v>
      </c>
      <c r="X108" s="278" t="s">
        <v>141</v>
      </c>
      <c r="Y108" s="301">
        <v>16</v>
      </c>
      <c r="Z108" s="302">
        <v>12.6</v>
      </c>
      <c r="AA108" s="302">
        <v>10.8</v>
      </c>
      <c r="AB108" s="302">
        <v>7.2</v>
      </c>
      <c r="AC108" s="302">
        <v>5.4</v>
      </c>
      <c r="AD108" s="303">
        <v>3.6</v>
      </c>
      <c r="AE108" s="124"/>
      <c r="AF108" s="124"/>
      <c r="AG108" s="79"/>
      <c r="AH108" s="79"/>
      <c r="AI108" s="278" t="s">
        <v>846</v>
      </c>
      <c r="AJ108" s="301">
        <v>16</v>
      </c>
      <c r="AK108" s="302">
        <v>12.6</v>
      </c>
      <c r="AL108" s="302">
        <v>10.8</v>
      </c>
      <c r="AM108" s="302">
        <v>7.2</v>
      </c>
      <c r="AN108" s="302">
        <v>5.4</v>
      </c>
      <c r="AO108" s="303">
        <v>3.6</v>
      </c>
      <c r="AP108" s="154"/>
      <c r="AQ108" s="154"/>
      <c r="AR108" s="148"/>
      <c r="AS108" s="70"/>
      <c r="AT108" s="70"/>
      <c r="AU108" s="70"/>
      <c r="AV108" s="70"/>
      <c r="AW108" s="70"/>
      <c r="AX108" s="70"/>
      <c r="AY108" s="70"/>
      <c r="AZ108" s="70"/>
      <c r="BA108" s="70"/>
      <c r="BB108" s="70"/>
      <c r="BC108" s="70"/>
      <c r="BD108" s="243"/>
    </row>
    <row r="109" spans="2:62" ht="18" customHeight="1" x14ac:dyDescent="0.2">
      <c r="B109" s="52"/>
      <c r="C109" s="57"/>
      <c r="D109" s="57"/>
      <c r="E109" s="151"/>
      <c r="F109" s="151"/>
      <c r="G109" s="151"/>
      <c r="H109" s="151"/>
      <c r="I109" s="151"/>
      <c r="J109" s="57"/>
      <c r="K109" s="57"/>
      <c r="L109" s="57"/>
      <c r="M109" s="57"/>
      <c r="N109" s="57"/>
      <c r="O109" s="57"/>
      <c r="T109" s="843"/>
      <c r="U109" s="1467" t="s">
        <v>561</v>
      </c>
      <c r="V109" s="1162" t="s">
        <v>561</v>
      </c>
      <c r="X109" s="1171">
        <v>5</v>
      </c>
      <c r="Y109" s="692" t="s">
        <v>561</v>
      </c>
      <c r="Z109" s="693">
        <v>260</v>
      </c>
      <c r="AA109" s="305">
        <v>260</v>
      </c>
      <c r="AB109" s="305">
        <v>150</v>
      </c>
      <c r="AC109" s="305">
        <v>150</v>
      </c>
      <c r="AD109" s="306">
        <v>150</v>
      </c>
      <c r="AE109" s="124"/>
      <c r="AF109" s="124"/>
      <c r="AG109" s="79"/>
      <c r="AH109" s="79"/>
      <c r="AI109" s="1171">
        <v>5</v>
      </c>
      <c r="AJ109" s="692" t="s">
        <v>561</v>
      </c>
      <c r="AK109" s="693" t="s">
        <v>561</v>
      </c>
      <c r="AL109" s="305">
        <v>70</v>
      </c>
      <c r="AM109" s="305">
        <v>40</v>
      </c>
      <c r="AN109" s="305">
        <v>40</v>
      </c>
      <c r="AO109" s="306">
        <v>40</v>
      </c>
      <c r="AP109" s="70"/>
      <c r="AQ109" s="70"/>
      <c r="AR109" s="70"/>
      <c r="AS109" s="70"/>
      <c r="AT109" s="70"/>
      <c r="AU109" s="70"/>
      <c r="AV109" s="70"/>
      <c r="AW109" s="70"/>
      <c r="AX109" s="70"/>
      <c r="AY109" s="70"/>
      <c r="AZ109" s="70"/>
      <c r="BA109" s="70"/>
      <c r="BB109" s="70"/>
      <c r="BC109" s="70"/>
      <c r="BD109" s="243"/>
      <c r="BE109" s="147"/>
      <c r="BF109" s="64"/>
      <c r="BG109" s="64"/>
      <c r="BH109" s="64"/>
      <c r="BI109" s="64"/>
      <c r="BJ109" s="64"/>
    </row>
    <row r="110" spans="2:62" ht="18" customHeight="1" x14ac:dyDescent="0.2">
      <c r="B110" s="57"/>
      <c r="C110" s="57"/>
      <c r="D110" s="57"/>
      <c r="E110" s="151"/>
      <c r="F110" s="151"/>
      <c r="G110" s="151"/>
      <c r="H110" s="151"/>
      <c r="I110" s="151"/>
      <c r="J110" s="57"/>
      <c r="K110" s="57"/>
      <c r="L110" s="57"/>
      <c r="M110" s="57"/>
      <c r="N110" s="57"/>
      <c r="O110" s="57"/>
      <c r="X110" s="1171">
        <v>10</v>
      </c>
      <c r="Y110" s="694" t="s">
        <v>561</v>
      </c>
      <c r="Z110" s="695" t="s">
        <v>561</v>
      </c>
      <c r="AA110" s="149">
        <v>260</v>
      </c>
      <c r="AB110" s="149">
        <v>200</v>
      </c>
      <c r="AC110" s="149">
        <v>150</v>
      </c>
      <c r="AD110" s="226">
        <v>150</v>
      </c>
      <c r="AE110" s="124"/>
      <c r="AF110" s="124"/>
      <c r="AG110" s="79"/>
      <c r="AH110" s="79"/>
      <c r="AI110" s="1171">
        <v>10</v>
      </c>
      <c r="AJ110" s="694" t="s">
        <v>561</v>
      </c>
      <c r="AK110" s="695" t="s">
        <v>561</v>
      </c>
      <c r="AL110" s="149">
        <v>70</v>
      </c>
      <c r="AM110" s="149">
        <v>50</v>
      </c>
      <c r="AN110" s="149">
        <v>40</v>
      </c>
      <c r="AO110" s="226">
        <v>40</v>
      </c>
      <c r="AP110" s="70"/>
      <c r="AQ110" s="70"/>
      <c r="AR110" s="70"/>
      <c r="AS110" s="70"/>
      <c r="AT110" s="70"/>
      <c r="AU110" s="70"/>
      <c r="AV110" s="70"/>
      <c r="AW110" s="70"/>
      <c r="AX110" s="70"/>
      <c r="AY110" s="70"/>
      <c r="AZ110" s="70"/>
      <c r="BA110" s="70"/>
      <c r="BB110" s="70"/>
      <c r="BC110" s="70"/>
      <c r="BD110" s="243"/>
      <c r="BE110" s="147"/>
      <c r="BF110" s="64"/>
      <c r="BG110" s="64"/>
      <c r="BH110" s="64"/>
      <c r="BI110" s="64"/>
      <c r="BJ110" s="64"/>
    </row>
    <row r="111" spans="2:62" ht="18" customHeight="1" x14ac:dyDescent="0.2">
      <c r="B111" s="57"/>
      <c r="C111" s="57"/>
      <c r="D111" s="57"/>
      <c r="E111" s="151"/>
      <c r="F111" s="151"/>
      <c r="G111" s="151"/>
      <c r="H111" s="151"/>
      <c r="I111" s="151"/>
      <c r="J111" s="57"/>
      <c r="K111" s="57"/>
      <c r="L111" s="57"/>
      <c r="M111" s="57"/>
      <c r="N111" s="57"/>
      <c r="O111" s="57"/>
      <c r="X111" s="1171">
        <v>15</v>
      </c>
      <c r="Y111" s="694" t="s">
        <v>561</v>
      </c>
      <c r="Z111" s="695" t="s">
        <v>561</v>
      </c>
      <c r="AA111" s="695" t="s">
        <v>561</v>
      </c>
      <c r="AB111" s="149">
        <v>260</v>
      </c>
      <c r="AC111" s="149">
        <v>150</v>
      </c>
      <c r="AD111" s="226">
        <v>150</v>
      </c>
      <c r="AE111" s="124"/>
      <c r="AF111" s="124"/>
      <c r="AG111" s="79"/>
      <c r="AH111" s="79"/>
      <c r="AI111" s="1171">
        <v>15</v>
      </c>
      <c r="AJ111" s="694" t="s">
        <v>561</v>
      </c>
      <c r="AK111" s="695" t="s">
        <v>561</v>
      </c>
      <c r="AL111" s="695" t="s">
        <v>561</v>
      </c>
      <c r="AM111" s="149">
        <v>70</v>
      </c>
      <c r="AN111" s="149">
        <v>40</v>
      </c>
      <c r="AO111" s="226">
        <v>40</v>
      </c>
      <c r="AP111" s="70"/>
      <c r="AQ111" s="70"/>
      <c r="AR111" s="70"/>
      <c r="AS111" s="70"/>
      <c r="AT111" s="70"/>
      <c r="AU111" s="70"/>
      <c r="AV111" s="70"/>
      <c r="AW111" s="70"/>
      <c r="AX111" s="70"/>
      <c r="AY111" s="70"/>
      <c r="AZ111" s="70"/>
      <c r="BA111" s="70"/>
      <c r="BB111" s="70"/>
      <c r="BC111" s="70"/>
      <c r="BD111" s="243"/>
      <c r="BE111" s="147"/>
      <c r="BF111" s="64"/>
      <c r="BG111" s="64"/>
      <c r="BH111" s="64"/>
      <c r="BI111" s="64"/>
      <c r="BJ111" s="64"/>
    </row>
    <row r="112" spans="2:62" ht="18" customHeight="1" x14ac:dyDescent="0.2">
      <c r="B112" s="57"/>
      <c r="C112" s="57"/>
      <c r="D112" s="57"/>
      <c r="E112" s="151"/>
      <c r="F112" s="151"/>
      <c r="G112" s="151"/>
      <c r="H112" s="151"/>
      <c r="I112" s="151"/>
      <c r="J112" s="57"/>
      <c r="K112" s="57"/>
      <c r="L112" s="57"/>
      <c r="M112" s="57"/>
      <c r="N112" s="57"/>
      <c r="O112" s="57"/>
      <c r="X112" s="280">
        <v>20</v>
      </c>
      <c r="Y112" s="697" t="s">
        <v>561</v>
      </c>
      <c r="Z112" s="698" t="s">
        <v>561</v>
      </c>
      <c r="AA112" s="698" t="s">
        <v>561</v>
      </c>
      <c r="AB112" s="227">
        <v>260</v>
      </c>
      <c r="AC112" s="227">
        <v>200</v>
      </c>
      <c r="AD112" s="228">
        <v>150</v>
      </c>
      <c r="AE112" s="124"/>
      <c r="AF112" s="124"/>
      <c r="AG112" s="79"/>
      <c r="AH112" s="79"/>
      <c r="AI112" s="280">
        <v>20</v>
      </c>
      <c r="AJ112" s="697" t="s">
        <v>561</v>
      </c>
      <c r="AK112" s="698" t="s">
        <v>561</v>
      </c>
      <c r="AL112" s="698" t="s">
        <v>561</v>
      </c>
      <c r="AM112" s="227">
        <v>70</v>
      </c>
      <c r="AN112" s="227">
        <v>50</v>
      </c>
      <c r="AO112" s="228">
        <v>40</v>
      </c>
      <c r="AP112" s="70"/>
      <c r="AQ112" s="70"/>
      <c r="AR112" s="70"/>
      <c r="AS112" s="70"/>
      <c r="AT112" s="70"/>
      <c r="AU112" s="70"/>
      <c r="AV112" s="70"/>
      <c r="AW112" s="70"/>
      <c r="AX112" s="70"/>
      <c r="AY112" s="70"/>
      <c r="AZ112" s="70"/>
      <c r="BA112" s="70"/>
      <c r="BB112" s="70"/>
      <c r="BC112" s="70"/>
      <c r="BD112" s="243"/>
      <c r="BE112" s="147"/>
      <c r="BF112" s="64"/>
      <c r="BG112" s="64"/>
      <c r="BH112" s="64"/>
      <c r="BI112" s="64"/>
      <c r="BJ112" s="64"/>
    </row>
    <row r="113" spans="2:62" ht="18" customHeight="1" x14ac:dyDescent="0.2">
      <c r="B113" s="57"/>
      <c r="C113" s="57"/>
      <c r="D113" s="57"/>
      <c r="E113" s="151"/>
      <c r="F113" s="57"/>
      <c r="G113" s="57"/>
      <c r="H113" s="57"/>
      <c r="I113" s="151"/>
      <c r="J113" s="57"/>
      <c r="K113" s="57"/>
      <c r="L113" s="57"/>
      <c r="M113" s="57"/>
      <c r="N113" s="57"/>
      <c r="O113" s="57"/>
      <c r="X113" s="335"/>
      <c r="Y113" s="79"/>
      <c r="Z113" s="79"/>
      <c r="AA113" s="79"/>
      <c r="AB113" s="79"/>
      <c r="AC113" s="79"/>
      <c r="AD113" s="79"/>
      <c r="AE113" s="124"/>
      <c r="AF113" s="124"/>
      <c r="AG113" s="79"/>
      <c r="AH113" s="79"/>
      <c r="AI113" s="79"/>
      <c r="AJ113" s="79"/>
      <c r="AK113" s="79"/>
      <c r="AL113" s="79"/>
      <c r="AM113" s="79"/>
      <c r="AN113" s="79"/>
      <c r="AO113" s="79"/>
      <c r="AP113" s="70"/>
      <c r="AQ113" s="70"/>
      <c r="AR113" s="70"/>
      <c r="AS113" s="70"/>
      <c r="AT113" s="70"/>
      <c r="AU113" s="70"/>
      <c r="AV113" s="70"/>
      <c r="AW113" s="70"/>
      <c r="AX113" s="70"/>
      <c r="AY113" s="70"/>
      <c r="AZ113" s="70"/>
      <c r="BA113" s="70"/>
      <c r="BB113" s="70"/>
      <c r="BC113" s="70"/>
      <c r="BD113" s="243"/>
      <c r="BE113" s="147"/>
      <c r="BF113" s="64"/>
      <c r="BG113" s="64"/>
      <c r="BH113" s="64"/>
      <c r="BI113" s="64"/>
      <c r="BJ113" s="64"/>
    </row>
    <row r="114" spans="2:62" ht="18" customHeight="1" x14ac:dyDescent="0.2">
      <c r="B114" s="57"/>
      <c r="C114" s="137"/>
      <c r="D114" s="57"/>
      <c r="E114" s="151"/>
      <c r="F114" s="57"/>
      <c r="G114" s="57"/>
      <c r="H114" s="57"/>
      <c r="I114" s="151"/>
      <c r="J114" s="57"/>
      <c r="K114" s="57"/>
      <c r="L114" s="57"/>
      <c r="M114" s="57"/>
      <c r="N114" s="57"/>
      <c r="O114" s="57"/>
      <c r="X114" s="278" t="s">
        <v>157</v>
      </c>
      <c r="Y114" s="301">
        <v>16</v>
      </c>
      <c r="Z114" s="302">
        <v>12.6</v>
      </c>
      <c r="AA114" s="302">
        <v>10.8</v>
      </c>
      <c r="AB114" s="302">
        <v>7.2</v>
      </c>
      <c r="AC114" s="302">
        <v>5.4</v>
      </c>
      <c r="AD114" s="303">
        <v>3.6</v>
      </c>
      <c r="AE114" s="124"/>
      <c r="AF114" s="124"/>
      <c r="AG114" s="79"/>
      <c r="AH114" s="79"/>
      <c r="AI114" s="278" t="s">
        <v>159</v>
      </c>
      <c r="AJ114" s="1164">
        <v>16</v>
      </c>
      <c r="AK114" s="1165">
        <v>12.6</v>
      </c>
      <c r="AL114" s="1165">
        <v>10.8</v>
      </c>
      <c r="AM114" s="1165">
        <v>7.2</v>
      </c>
      <c r="AN114" s="1165">
        <v>5.4</v>
      </c>
      <c r="AO114" s="1166">
        <v>3.6</v>
      </c>
      <c r="AP114" s="64"/>
      <c r="AQ114" s="70"/>
      <c r="AR114" s="70"/>
      <c r="AS114" s="70"/>
      <c r="AT114" s="70"/>
      <c r="AU114" s="70"/>
      <c r="AV114" s="70"/>
      <c r="AW114" s="70"/>
      <c r="AX114" s="70"/>
      <c r="AY114" s="70"/>
      <c r="AZ114" s="70"/>
      <c r="BA114" s="70"/>
      <c r="BB114" s="70"/>
      <c r="BC114" s="70"/>
      <c r="BD114" s="243"/>
      <c r="BE114" s="147"/>
      <c r="BF114" s="64"/>
      <c r="BG114" s="64"/>
      <c r="BH114" s="64"/>
      <c r="BI114" s="64"/>
      <c r="BJ114" s="64"/>
    </row>
    <row r="115" spans="2:62" ht="18" customHeight="1" x14ac:dyDescent="0.2">
      <c r="B115" s="57"/>
      <c r="C115" s="137"/>
      <c r="D115" s="57"/>
      <c r="E115" s="151"/>
      <c r="F115" s="57"/>
      <c r="G115" s="57"/>
      <c r="H115" s="57"/>
      <c r="I115" s="151"/>
      <c r="J115" s="57"/>
      <c r="K115" s="57"/>
      <c r="L115" s="57"/>
      <c r="M115" s="57"/>
      <c r="N115" s="57"/>
      <c r="O115" s="57"/>
      <c r="X115" s="1171">
        <v>5</v>
      </c>
      <c r="Y115" s="692" t="s">
        <v>561</v>
      </c>
      <c r="Z115" s="693" t="s">
        <v>561</v>
      </c>
      <c r="AA115" s="305">
        <v>637</v>
      </c>
      <c r="AB115" s="305">
        <v>375</v>
      </c>
      <c r="AC115" s="305">
        <v>375</v>
      </c>
      <c r="AD115" s="306">
        <v>375</v>
      </c>
      <c r="AE115" s="124"/>
      <c r="AF115" s="124"/>
      <c r="AG115" s="79"/>
      <c r="AH115" s="79"/>
      <c r="AI115" s="1148">
        <v>5</v>
      </c>
      <c r="AJ115" s="692" t="s">
        <v>561</v>
      </c>
      <c r="AK115" s="693" t="s">
        <v>561</v>
      </c>
      <c r="AL115" s="305">
        <f>AL109*0.25</f>
        <v>17.5</v>
      </c>
      <c r="AM115" s="305">
        <f t="shared" ref="AM115:AO115" si="34">AM109*0.25</f>
        <v>10</v>
      </c>
      <c r="AN115" s="305">
        <f t="shared" si="34"/>
        <v>10</v>
      </c>
      <c r="AO115" s="306">
        <f t="shared" si="34"/>
        <v>10</v>
      </c>
      <c r="AP115" s="64"/>
      <c r="AQ115" s="70"/>
      <c r="AR115" s="70"/>
      <c r="AS115" s="70"/>
      <c r="AT115" s="70"/>
      <c r="AU115" s="70"/>
      <c r="AV115" s="70"/>
      <c r="AW115" s="70"/>
      <c r="AX115" s="70"/>
      <c r="AY115" s="70"/>
      <c r="AZ115" s="70"/>
      <c r="BA115" s="70"/>
      <c r="BB115" s="70"/>
      <c r="BC115" s="70"/>
      <c r="BD115" s="243"/>
      <c r="BE115" s="147"/>
      <c r="BF115" s="64"/>
      <c r="BG115" s="64"/>
      <c r="BH115" s="64"/>
      <c r="BI115" s="64"/>
      <c r="BJ115" s="64"/>
    </row>
    <row r="116" spans="2:62" ht="18" customHeight="1" x14ac:dyDescent="0.2">
      <c r="B116" s="57"/>
      <c r="C116" s="57"/>
      <c r="D116" s="57"/>
      <c r="E116" s="151"/>
      <c r="F116" s="57"/>
      <c r="G116" s="57"/>
      <c r="H116" s="57"/>
      <c r="I116" s="151"/>
      <c r="J116" s="57"/>
      <c r="K116" s="57"/>
      <c r="L116" s="57"/>
      <c r="M116" s="57"/>
      <c r="N116" s="57"/>
      <c r="O116" s="57"/>
      <c r="X116" s="1171">
        <v>10</v>
      </c>
      <c r="Y116" s="694" t="s">
        <v>561</v>
      </c>
      <c r="Z116" s="695" t="s">
        <v>561</v>
      </c>
      <c r="AA116" s="149">
        <v>637</v>
      </c>
      <c r="AB116" s="149">
        <v>500</v>
      </c>
      <c r="AC116" s="149">
        <v>375</v>
      </c>
      <c r="AD116" s="226">
        <v>375</v>
      </c>
      <c r="AE116" s="124"/>
      <c r="AF116" s="124"/>
      <c r="AG116" s="79"/>
      <c r="AH116" s="79"/>
      <c r="AI116" s="1148">
        <v>10</v>
      </c>
      <c r="AJ116" s="694" t="s">
        <v>561</v>
      </c>
      <c r="AK116" s="695" t="s">
        <v>561</v>
      </c>
      <c r="AL116" s="149">
        <f>AL110*0.25</f>
        <v>17.5</v>
      </c>
      <c r="AM116" s="149">
        <f t="shared" ref="AM116:AO116" si="35">AM110*0.25</f>
        <v>12.5</v>
      </c>
      <c r="AN116" s="149">
        <f t="shared" si="35"/>
        <v>10</v>
      </c>
      <c r="AO116" s="226">
        <f t="shared" si="35"/>
        <v>10</v>
      </c>
      <c r="AP116" s="64"/>
      <c r="AQ116" s="70"/>
      <c r="AR116" s="70"/>
      <c r="AS116" s="70"/>
      <c r="AT116" s="70"/>
      <c r="AU116" s="70"/>
      <c r="AV116" s="70"/>
      <c r="AW116" s="70"/>
      <c r="AX116" s="70"/>
      <c r="AY116" s="70"/>
      <c r="AZ116" s="70"/>
      <c r="BA116" s="70"/>
      <c r="BB116" s="70"/>
      <c r="BC116" s="70"/>
      <c r="BD116" s="243"/>
      <c r="BE116" s="147"/>
      <c r="BF116" s="64"/>
      <c r="BG116" s="64"/>
      <c r="BH116" s="64"/>
      <c r="BI116" s="64"/>
      <c r="BJ116" s="64"/>
    </row>
    <row r="117" spans="2:62" ht="18" customHeight="1" x14ac:dyDescent="0.2">
      <c r="B117" s="57"/>
      <c r="C117" s="137"/>
      <c r="D117" s="57"/>
      <c r="E117" s="151"/>
      <c r="F117" s="57"/>
      <c r="G117" s="57"/>
      <c r="H117" s="57"/>
      <c r="I117" s="151"/>
      <c r="J117" s="57"/>
      <c r="K117" s="57"/>
      <c r="L117" s="57"/>
      <c r="M117" s="57"/>
      <c r="N117" s="57"/>
      <c r="O117" s="57"/>
      <c r="X117" s="1171">
        <v>15</v>
      </c>
      <c r="Y117" s="694" t="s">
        <v>561</v>
      </c>
      <c r="Z117" s="695" t="s">
        <v>561</v>
      </c>
      <c r="AA117" s="695" t="s">
        <v>561</v>
      </c>
      <c r="AB117" s="149">
        <v>637</v>
      </c>
      <c r="AC117" s="149">
        <v>375</v>
      </c>
      <c r="AD117" s="226">
        <v>375</v>
      </c>
      <c r="AE117" s="124"/>
      <c r="AF117" s="124"/>
      <c r="AG117" s="79"/>
      <c r="AH117" s="79"/>
      <c r="AI117" s="1148">
        <v>15</v>
      </c>
      <c r="AJ117" s="694" t="s">
        <v>561</v>
      </c>
      <c r="AK117" s="695" t="s">
        <v>561</v>
      </c>
      <c r="AL117" s="695" t="s">
        <v>561</v>
      </c>
      <c r="AM117" s="149">
        <f t="shared" ref="AM117:AO117" si="36">AM111*0.25</f>
        <v>17.5</v>
      </c>
      <c r="AN117" s="149">
        <f t="shared" si="36"/>
        <v>10</v>
      </c>
      <c r="AO117" s="226">
        <f t="shared" si="36"/>
        <v>10</v>
      </c>
      <c r="AP117" s="64"/>
      <c r="AQ117" s="70"/>
      <c r="AR117" s="70"/>
      <c r="AS117" s="70"/>
      <c r="AT117" s="70"/>
      <c r="AU117" s="70"/>
      <c r="AV117" s="70"/>
      <c r="AW117" s="70"/>
      <c r="AX117" s="70"/>
      <c r="AY117" s="70"/>
      <c r="AZ117" s="70"/>
      <c r="BA117" s="70"/>
      <c r="BB117" s="70"/>
      <c r="BC117" s="70"/>
      <c r="BD117" s="243"/>
      <c r="BE117" s="147"/>
      <c r="BF117" s="64"/>
      <c r="BG117" s="64"/>
      <c r="BH117" s="64"/>
      <c r="BI117" s="64"/>
      <c r="BJ117" s="64"/>
    </row>
    <row r="118" spans="2:62" ht="18" customHeight="1" x14ac:dyDescent="0.2">
      <c r="B118" s="57"/>
      <c r="C118" s="137"/>
      <c r="D118" s="57"/>
      <c r="E118" s="154"/>
      <c r="F118" s="57"/>
      <c r="G118" s="57"/>
      <c r="H118" s="57"/>
      <c r="I118" s="154"/>
      <c r="J118" s="57"/>
      <c r="K118" s="57"/>
      <c r="L118" s="57"/>
      <c r="M118" s="57"/>
      <c r="N118" s="57"/>
      <c r="O118" s="57"/>
      <c r="X118" s="280">
        <v>20</v>
      </c>
      <c r="Y118" s="697" t="s">
        <v>561</v>
      </c>
      <c r="Z118" s="698" t="s">
        <v>561</v>
      </c>
      <c r="AA118" s="698" t="s">
        <v>561</v>
      </c>
      <c r="AB118" s="227">
        <v>637</v>
      </c>
      <c r="AC118" s="227">
        <v>500</v>
      </c>
      <c r="AD118" s="228">
        <v>375</v>
      </c>
      <c r="AE118" s="124"/>
      <c r="AF118" s="124"/>
      <c r="AG118" s="66"/>
      <c r="AH118" s="66"/>
      <c r="AI118" s="1149">
        <v>20</v>
      </c>
      <c r="AJ118" s="697" t="s">
        <v>561</v>
      </c>
      <c r="AK118" s="698" t="s">
        <v>561</v>
      </c>
      <c r="AL118" s="698" t="s">
        <v>561</v>
      </c>
      <c r="AM118" s="227">
        <f t="shared" ref="AM118:AO118" si="37">AM112*0.25</f>
        <v>17.5</v>
      </c>
      <c r="AN118" s="227">
        <f t="shared" si="37"/>
        <v>12.5</v>
      </c>
      <c r="AO118" s="228">
        <f t="shared" si="37"/>
        <v>10</v>
      </c>
      <c r="AP118" s="64"/>
      <c r="AQ118" s="66"/>
      <c r="AR118" s="66"/>
      <c r="AS118" s="66"/>
      <c r="AT118" s="66"/>
      <c r="AU118" s="66"/>
      <c r="AV118" s="66"/>
      <c r="AW118" s="66"/>
      <c r="AX118" s="66"/>
      <c r="AY118" s="66"/>
      <c r="AZ118" s="66"/>
      <c r="BA118" s="66"/>
      <c r="BB118" s="66"/>
      <c r="BC118" s="66"/>
      <c r="BD118" s="324"/>
      <c r="BE118" s="147"/>
    </row>
    <row r="119" spans="2:62" ht="18" customHeight="1" x14ac:dyDescent="0.2">
      <c r="B119" s="154"/>
      <c r="C119" s="154"/>
      <c r="D119" s="154"/>
      <c r="E119" s="154"/>
      <c r="F119" s="154"/>
      <c r="G119" s="154"/>
      <c r="H119" s="154"/>
      <c r="I119" s="154"/>
      <c r="J119" s="57"/>
      <c r="K119" s="57"/>
      <c r="L119" s="57"/>
      <c r="M119" s="57"/>
      <c r="N119" s="57"/>
      <c r="O119" s="57"/>
      <c r="X119" s="335"/>
      <c r="Y119" s="79"/>
      <c r="Z119" s="79"/>
      <c r="AA119" s="79"/>
      <c r="AB119" s="79"/>
      <c r="AC119" s="66"/>
      <c r="AD119" s="66"/>
      <c r="AE119" s="124"/>
      <c r="AF119" s="124"/>
      <c r="AG119" s="66"/>
      <c r="AH119" s="79"/>
      <c r="AI119" s="79"/>
      <c r="AJ119" s="79"/>
      <c r="AK119" s="79"/>
      <c r="AL119" s="79"/>
      <c r="AM119" s="79"/>
      <c r="AN119" s="66"/>
      <c r="AO119" s="79"/>
      <c r="AP119" s="79"/>
      <c r="AQ119" s="79"/>
      <c r="AR119" s="79"/>
      <c r="AS119" s="79"/>
      <c r="AT119" s="66"/>
      <c r="AU119" s="79"/>
      <c r="AV119" s="79"/>
      <c r="AW119" s="79"/>
      <c r="AX119" s="79"/>
      <c r="AY119" s="79"/>
      <c r="AZ119" s="66"/>
      <c r="BA119" s="161"/>
      <c r="BB119" s="161"/>
      <c r="BC119" s="161"/>
      <c r="BD119" s="325"/>
      <c r="BE119" s="147"/>
    </row>
    <row r="120" spans="2:62" ht="18" customHeight="1" x14ac:dyDescent="0.2">
      <c r="B120" s="154"/>
      <c r="C120" s="154"/>
      <c r="D120" s="158"/>
      <c r="E120" s="154"/>
      <c r="F120" s="154"/>
      <c r="G120" s="154"/>
      <c r="H120" s="154"/>
      <c r="I120" s="154"/>
      <c r="J120" s="57"/>
      <c r="K120" s="57"/>
      <c r="L120" s="57"/>
      <c r="M120" s="57"/>
      <c r="N120" s="57"/>
      <c r="O120" s="57"/>
      <c r="X120" s="278" t="s">
        <v>158</v>
      </c>
      <c r="Y120" s="301">
        <v>16</v>
      </c>
      <c r="Z120" s="302">
        <v>12.6</v>
      </c>
      <c r="AA120" s="302">
        <v>10.8</v>
      </c>
      <c r="AB120" s="302">
        <v>7.2</v>
      </c>
      <c r="AC120" s="302">
        <v>5.4</v>
      </c>
      <c r="AD120" s="303">
        <v>3.6</v>
      </c>
      <c r="AE120" s="124"/>
      <c r="AF120" s="124"/>
      <c r="AG120" s="66"/>
      <c r="AH120" s="79"/>
      <c r="AI120" s="278" t="s">
        <v>246</v>
      </c>
      <c r="AJ120" s="1164">
        <v>16</v>
      </c>
      <c r="AK120" s="1165">
        <v>12.6</v>
      </c>
      <c r="AL120" s="1165">
        <v>10.8</v>
      </c>
      <c r="AM120" s="1165">
        <v>7.2</v>
      </c>
      <c r="AN120" s="1165">
        <v>5.4</v>
      </c>
      <c r="AO120" s="1166">
        <v>3.6</v>
      </c>
      <c r="AP120" s="79"/>
      <c r="AQ120" s="79"/>
      <c r="AR120" s="79"/>
      <c r="AS120" s="79"/>
      <c r="AT120" s="66"/>
      <c r="AU120" s="79"/>
      <c r="AV120" s="79"/>
      <c r="AW120" s="79"/>
      <c r="AX120" s="79"/>
      <c r="AY120" s="79"/>
      <c r="AZ120" s="66"/>
      <c r="BA120" s="161"/>
      <c r="BB120" s="161"/>
      <c r="BC120" s="161"/>
      <c r="BD120" s="325"/>
      <c r="BE120" s="147"/>
    </row>
    <row r="121" spans="2:62" ht="18" customHeight="1" x14ac:dyDescent="0.2">
      <c r="B121" s="151"/>
      <c r="C121" s="154"/>
      <c r="D121" s="154"/>
      <c r="E121" s="154"/>
      <c r="F121" s="154"/>
      <c r="G121" s="154"/>
      <c r="H121" s="154"/>
      <c r="I121" s="154"/>
      <c r="J121" s="57"/>
      <c r="K121" s="57"/>
      <c r="L121" s="57"/>
      <c r="M121" s="57"/>
      <c r="N121" s="57"/>
      <c r="O121" s="57"/>
      <c r="X121" s="1171">
        <v>5</v>
      </c>
      <c r="Y121" s="1195" t="s">
        <v>561</v>
      </c>
      <c r="Z121" s="1196" t="s">
        <v>561</v>
      </c>
      <c r="AA121" s="1197">
        <v>4.79</v>
      </c>
      <c r="AB121" s="1197">
        <v>4.79</v>
      </c>
      <c r="AC121" s="1197">
        <v>1.77</v>
      </c>
      <c r="AD121" s="1198">
        <v>1.77</v>
      </c>
      <c r="AE121" s="124"/>
      <c r="AF121" s="124"/>
      <c r="AG121" s="66"/>
      <c r="AH121" s="79"/>
      <c r="AI121" s="1148">
        <v>5</v>
      </c>
      <c r="AJ121" s="692" t="s">
        <v>561</v>
      </c>
      <c r="AK121" s="693" t="s">
        <v>561</v>
      </c>
      <c r="AL121" s="305">
        <f t="shared" ref="AL121:AN124" si="38">SUM(AL109+AA109)</f>
        <v>330</v>
      </c>
      <c r="AM121" s="305">
        <f t="shared" si="38"/>
        <v>190</v>
      </c>
      <c r="AN121" s="305">
        <f t="shared" si="38"/>
        <v>190</v>
      </c>
      <c r="AO121" s="306">
        <f>SUM(AO109+AD109)</f>
        <v>190</v>
      </c>
      <c r="AP121" s="79"/>
      <c r="AQ121" s="79"/>
      <c r="AR121" s="79"/>
      <c r="AS121" s="79"/>
      <c r="AT121" s="66"/>
      <c r="AU121" s="79"/>
      <c r="AV121" s="79"/>
      <c r="AW121" s="79"/>
      <c r="AX121" s="79"/>
      <c r="AY121" s="79"/>
      <c r="AZ121" s="66"/>
      <c r="BA121" s="161"/>
      <c r="BB121" s="161"/>
      <c r="BC121" s="161"/>
      <c r="BD121" s="325"/>
      <c r="BE121" s="147"/>
    </row>
    <row r="122" spans="2:62" ht="18" customHeight="1" x14ac:dyDescent="0.2">
      <c r="B122" s="154"/>
      <c r="C122" s="154"/>
      <c r="D122" s="154"/>
      <c r="E122" s="154"/>
      <c r="F122" s="154"/>
      <c r="G122" s="154"/>
      <c r="H122" s="154"/>
      <c r="I122" s="154"/>
      <c r="J122" s="57"/>
      <c r="K122" s="57"/>
      <c r="L122" s="57"/>
      <c r="M122" s="57"/>
      <c r="N122" s="57"/>
      <c r="O122" s="57"/>
      <c r="X122" s="1171">
        <v>10</v>
      </c>
      <c r="Y122" s="1199" t="s">
        <v>561</v>
      </c>
      <c r="Z122" s="1200" t="s">
        <v>561</v>
      </c>
      <c r="AA122" s="1201">
        <v>11.17</v>
      </c>
      <c r="AB122" s="1201">
        <v>7.98</v>
      </c>
      <c r="AC122" s="1201">
        <v>1.77</v>
      </c>
      <c r="AD122" s="1202">
        <v>1.77</v>
      </c>
      <c r="AE122" s="1194"/>
      <c r="AF122" s="124"/>
      <c r="AG122" s="66"/>
      <c r="AH122" s="79"/>
      <c r="AI122" s="1148">
        <v>10</v>
      </c>
      <c r="AJ122" s="694" t="s">
        <v>561</v>
      </c>
      <c r="AK122" s="695" t="s">
        <v>561</v>
      </c>
      <c r="AL122" s="149">
        <f t="shared" si="38"/>
        <v>330</v>
      </c>
      <c r="AM122" s="149">
        <f t="shared" si="38"/>
        <v>250</v>
      </c>
      <c r="AN122" s="149">
        <f t="shared" si="38"/>
        <v>190</v>
      </c>
      <c r="AO122" s="226">
        <f t="shared" ref="AO122:AO124" si="39">SUM(AO110+AD110)</f>
        <v>190</v>
      </c>
      <c r="AP122" s="79"/>
      <c r="AQ122" s="79"/>
      <c r="AR122" s="79"/>
      <c r="AS122" s="79"/>
      <c r="AT122" s="66"/>
      <c r="AU122" s="79"/>
      <c r="AV122" s="79"/>
      <c r="AW122" s="79"/>
      <c r="AX122" s="79"/>
      <c r="AY122" s="79"/>
      <c r="AZ122" s="66"/>
      <c r="BA122" s="161"/>
      <c r="BB122" s="161"/>
      <c r="BC122" s="161"/>
      <c r="BD122" s="325"/>
      <c r="BE122" s="147"/>
    </row>
    <row r="123" spans="2:62" ht="18" customHeight="1" x14ac:dyDescent="0.2">
      <c r="B123" s="154"/>
      <c r="C123" s="154"/>
      <c r="D123" s="154"/>
      <c r="E123" s="154"/>
      <c r="F123" s="154"/>
      <c r="G123" s="154"/>
      <c r="H123" s="154"/>
      <c r="I123" s="154"/>
      <c r="J123" s="57"/>
      <c r="K123" s="57"/>
      <c r="L123" s="57"/>
      <c r="M123" s="57"/>
      <c r="N123" s="57"/>
      <c r="O123" s="57"/>
      <c r="X123" s="1171">
        <v>15</v>
      </c>
      <c r="Y123" s="1199" t="s">
        <v>561</v>
      </c>
      <c r="Z123" s="1200" t="s">
        <v>561</v>
      </c>
      <c r="AA123" s="1200" t="s">
        <v>561</v>
      </c>
      <c r="AB123" s="1201">
        <v>11.17</v>
      </c>
      <c r="AC123" s="1201">
        <v>4.79</v>
      </c>
      <c r="AD123" s="1202">
        <v>4.79</v>
      </c>
      <c r="AE123" s="124"/>
      <c r="AF123" s="124"/>
      <c r="AG123" s="66"/>
      <c r="AH123" s="79"/>
      <c r="AI123" s="1148">
        <v>15</v>
      </c>
      <c r="AJ123" s="694" t="s">
        <v>561</v>
      </c>
      <c r="AK123" s="695" t="s">
        <v>561</v>
      </c>
      <c r="AL123" s="695" t="s">
        <v>561</v>
      </c>
      <c r="AM123" s="149">
        <f t="shared" si="38"/>
        <v>330</v>
      </c>
      <c r="AN123" s="149">
        <f t="shared" si="38"/>
        <v>190</v>
      </c>
      <c r="AO123" s="226">
        <f t="shared" si="39"/>
        <v>190</v>
      </c>
      <c r="AP123" s="79"/>
      <c r="AQ123" s="79"/>
      <c r="AR123" s="79"/>
      <c r="AS123" s="79"/>
      <c r="AT123" s="66"/>
      <c r="AU123" s="79"/>
      <c r="AV123" s="79"/>
      <c r="AW123" s="79"/>
      <c r="AX123" s="79"/>
      <c r="AY123" s="79"/>
      <c r="AZ123" s="66"/>
      <c r="BA123" s="161"/>
      <c r="BB123" s="161"/>
      <c r="BC123" s="161"/>
      <c r="BD123" s="325"/>
      <c r="BE123" s="147"/>
    </row>
    <row r="124" spans="2:62" ht="18" customHeight="1" x14ac:dyDescent="0.2">
      <c r="B124" s="154"/>
      <c r="C124" s="154"/>
      <c r="D124" s="158"/>
      <c r="E124" s="154"/>
      <c r="F124" s="154"/>
      <c r="G124" s="154"/>
      <c r="H124" s="159"/>
      <c r="I124" s="154"/>
      <c r="J124" s="57"/>
      <c r="K124" s="57"/>
      <c r="L124" s="57"/>
      <c r="M124" s="57"/>
      <c r="N124" s="57"/>
      <c r="O124" s="57"/>
      <c r="X124" s="280">
        <v>20</v>
      </c>
      <c r="Y124" s="1203" t="s">
        <v>561</v>
      </c>
      <c r="Z124" s="1204" t="s">
        <v>561</v>
      </c>
      <c r="AA124" s="1204" t="s">
        <v>561</v>
      </c>
      <c r="AB124" s="1205">
        <v>11.17</v>
      </c>
      <c r="AC124" s="1205">
        <v>7.98</v>
      </c>
      <c r="AD124" s="1206">
        <v>4.79</v>
      </c>
      <c r="AE124" s="124"/>
      <c r="AF124" s="124"/>
      <c r="AG124" s="66"/>
      <c r="AH124" s="79"/>
      <c r="AI124" s="1149">
        <v>20</v>
      </c>
      <c r="AJ124" s="697" t="s">
        <v>561</v>
      </c>
      <c r="AK124" s="698" t="s">
        <v>561</v>
      </c>
      <c r="AL124" s="698" t="s">
        <v>561</v>
      </c>
      <c r="AM124" s="227">
        <f t="shared" si="38"/>
        <v>330</v>
      </c>
      <c r="AN124" s="227">
        <f t="shared" si="38"/>
        <v>250</v>
      </c>
      <c r="AO124" s="228">
        <f t="shared" si="39"/>
        <v>190</v>
      </c>
      <c r="AP124" s="79"/>
      <c r="AQ124" s="79"/>
      <c r="AR124" s="79"/>
      <c r="AS124" s="79"/>
      <c r="AT124" s="66"/>
      <c r="AU124" s="79"/>
      <c r="AV124" s="79"/>
      <c r="AW124" s="79"/>
      <c r="AX124" s="79"/>
      <c r="AY124" s="79"/>
      <c r="AZ124" s="66"/>
      <c r="BA124" s="161"/>
      <c r="BB124" s="161"/>
      <c r="BC124" s="161"/>
      <c r="BD124" s="325"/>
      <c r="BE124" s="147"/>
    </row>
    <row r="125" spans="2:62" ht="18" customHeight="1" thickBot="1" x14ac:dyDescent="0.25">
      <c r="B125" s="154"/>
      <c r="C125" s="154"/>
      <c r="D125" s="154"/>
      <c r="E125" s="154"/>
      <c r="F125" s="154"/>
      <c r="G125" s="154"/>
      <c r="H125" s="154"/>
      <c r="I125" s="154"/>
      <c r="J125" s="57"/>
      <c r="K125" s="57"/>
      <c r="L125" s="57"/>
      <c r="M125" s="57"/>
      <c r="N125" s="57"/>
      <c r="O125" s="57"/>
      <c r="X125" s="336"/>
      <c r="Y125" s="66"/>
      <c r="Z125" s="79"/>
      <c r="AA125" s="79"/>
      <c r="AB125" s="79"/>
      <c r="AC125" s="79"/>
      <c r="AD125" s="124"/>
      <c r="AE125" s="124"/>
      <c r="AF125" s="124"/>
      <c r="AG125" s="66"/>
      <c r="AH125" s="79"/>
      <c r="AI125" s="79"/>
      <c r="AJ125" s="79"/>
      <c r="AK125" s="79"/>
      <c r="AL125" s="79"/>
      <c r="AM125" s="79"/>
      <c r="AN125" s="66"/>
      <c r="AO125" s="79"/>
      <c r="AP125" s="79"/>
      <c r="AQ125" s="79"/>
      <c r="AR125" s="79"/>
      <c r="AS125" s="79"/>
      <c r="AT125" s="66"/>
      <c r="AU125" s="79"/>
      <c r="AV125" s="79"/>
      <c r="AW125" s="79"/>
      <c r="AX125" s="79"/>
      <c r="AY125" s="79"/>
      <c r="AZ125" s="66"/>
      <c r="BA125" s="161"/>
      <c r="BB125" s="161"/>
      <c r="BC125" s="161"/>
      <c r="BD125" s="325"/>
      <c r="BE125" s="147"/>
    </row>
    <row r="126" spans="2:62" ht="18" customHeight="1" thickBot="1" x14ac:dyDescent="0.25">
      <c r="B126" s="154"/>
      <c r="C126" s="154"/>
      <c r="D126" s="154"/>
      <c r="E126" s="154"/>
      <c r="F126" s="154"/>
      <c r="G126" s="154"/>
      <c r="H126" s="154"/>
      <c r="I126" s="154"/>
      <c r="J126" s="57"/>
      <c r="K126" s="57"/>
      <c r="L126" s="57"/>
      <c r="M126" s="57"/>
      <c r="N126" s="57"/>
      <c r="O126" s="57"/>
      <c r="X126" s="254" t="s">
        <v>854</v>
      </c>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6"/>
      <c r="BE126" s="147"/>
    </row>
    <row r="127" spans="2:62" ht="18" customHeight="1" x14ac:dyDescent="0.2">
      <c r="B127" s="154"/>
      <c r="C127" s="154"/>
      <c r="D127" s="158"/>
      <c r="E127" s="154"/>
      <c r="F127" s="154"/>
      <c r="G127" s="154"/>
      <c r="H127" s="159"/>
      <c r="I127" s="154"/>
      <c r="J127" s="57"/>
      <c r="K127" s="57"/>
      <c r="L127" s="57"/>
      <c r="M127" s="57"/>
      <c r="N127" s="57"/>
      <c r="O127" s="57"/>
      <c r="X127" s="335"/>
      <c r="Y127" s="79"/>
      <c r="Z127" s="79"/>
      <c r="AA127" s="79"/>
      <c r="AB127" s="79"/>
      <c r="AC127" s="79"/>
      <c r="AD127" s="79"/>
      <c r="AE127" s="124"/>
      <c r="AF127" s="124"/>
      <c r="AG127" s="79"/>
      <c r="AH127" s="79"/>
      <c r="AI127" s="79"/>
      <c r="AJ127" s="79"/>
      <c r="AK127" s="79"/>
      <c r="AL127" s="79"/>
      <c r="AM127" s="79"/>
      <c r="AN127" s="124"/>
      <c r="AO127" s="79"/>
      <c r="AP127" s="70"/>
      <c r="AQ127" s="70"/>
      <c r="AR127" s="70"/>
      <c r="AS127" s="70"/>
      <c r="AT127" s="70"/>
      <c r="AU127" s="70"/>
      <c r="AV127" s="70"/>
      <c r="AW127" s="70"/>
      <c r="AX127" s="70"/>
      <c r="AY127" s="70"/>
      <c r="AZ127" s="70"/>
      <c r="BA127" s="70"/>
      <c r="BB127" s="70"/>
      <c r="BC127" s="70"/>
      <c r="BD127" s="243"/>
      <c r="BE127" s="147"/>
    </row>
    <row r="128" spans="2:62" ht="18" customHeight="1" x14ac:dyDescent="0.2">
      <c r="B128" s="154"/>
      <c r="C128" s="154"/>
      <c r="D128" s="154"/>
      <c r="E128" s="154"/>
      <c r="F128" s="154"/>
      <c r="G128" s="154"/>
      <c r="H128" s="154"/>
      <c r="I128" s="154"/>
      <c r="J128" s="57"/>
      <c r="K128" s="57"/>
      <c r="L128" s="57"/>
      <c r="M128" s="57"/>
      <c r="N128" s="57"/>
      <c r="O128" s="57"/>
      <c r="X128" s="278" t="s">
        <v>141</v>
      </c>
      <c r="Y128" s="301">
        <v>16</v>
      </c>
      <c r="Z128" s="302">
        <v>12.6</v>
      </c>
      <c r="AA128" s="302">
        <v>10.8</v>
      </c>
      <c r="AB128" s="302">
        <v>7.2</v>
      </c>
      <c r="AC128" s="302">
        <v>5.4</v>
      </c>
      <c r="AD128" s="303">
        <v>3.6</v>
      </c>
      <c r="AE128" s="124"/>
      <c r="AF128" s="124"/>
      <c r="AG128" s="79"/>
      <c r="AH128" s="79"/>
      <c r="AI128" s="278" t="s">
        <v>160</v>
      </c>
      <c r="AJ128" s="301">
        <v>16</v>
      </c>
      <c r="AK128" s="302">
        <v>12.6</v>
      </c>
      <c r="AL128" s="302">
        <v>10.8</v>
      </c>
      <c r="AM128" s="302">
        <v>7.2</v>
      </c>
      <c r="AN128" s="302">
        <v>5.4</v>
      </c>
      <c r="AO128" s="303">
        <v>3.6</v>
      </c>
      <c r="AP128" s="64"/>
      <c r="AQ128" s="70"/>
      <c r="AR128" s="79"/>
      <c r="AS128" s="79"/>
      <c r="AT128" s="79"/>
      <c r="AU128" s="79"/>
      <c r="AV128" s="79"/>
      <c r="AW128" s="79"/>
      <c r="AX128" s="79"/>
      <c r="AY128" s="79"/>
      <c r="AZ128" s="79"/>
      <c r="BA128" s="79"/>
      <c r="BB128" s="79"/>
      <c r="BC128" s="79"/>
      <c r="BD128" s="323" t="s">
        <v>161</v>
      </c>
      <c r="BE128" s="147"/>
    </row>
    <row r="129" spans="2:58" ht="18" customHeight="1" x14ac:dyDescent="0.2">
      <c r="B129" s="148"/>
      <c r="C129" s="148"/>
      <c r="D129" s="159"/>
      <c r="E129" s="148"/>
      <c r="F129" s="153"/>
      <c r="G129" s="148"/>
      <c r="H129" s="160"/>
      <c r="I129" s="148"/>
      <c r="J129" s="57"/>
      <c r="K129" s="57"/>
      <c r="L129" s="57"/>
      <c r="M129" s="57"/>
      <c r="N129" s="57"/>
      <c r="O129" s="57"/>
      <c r="X129" s="1171">
        <v>5</v>
      </c>
      <c r="Y129" s="692" t="s">
        <v>561</v>
      </c>
      <c r="Z129" s="693" t="s">
        <v>561</v>
      </c>
      <c r="AA129" s="693" t="s">
        <v>561</v>
      </c>
      <c r="AB129" s="693" t="s">
        <v>561</v>
      </c>
      <c r="AC129" s="305">
        <v>284</v>
      </c>
      <c r="AD129" s="306">
        <v>254</v>
      </c>
      <c r="AE129" s="124"/>
      <c r="AF129" s="124"/>
      <c r="AG129" s="79"/>
      <c r="AH129" s="79"/>
      <c r="AI129" s="1171">
        <v>5</v>
      </c>
      <c r="AJ129" s="692" t="s">
        <v>561</v>
      </c>
      <c r="AK129" s="693" t="s">
        <v>561</v>
      </c>
      <c r="AL129" s="693" t="s">
        <v>561</v>
      </c>
      <c r="AM129" s="693" t="s">
        <v>561</v>
      </c>
      <c r="AN129" s="305">
        <v>16</v>
      </c>
      <c r="AO129" s="306">
        <v>16</v>
      </c>
      <c r="AP129" s="64"/>
      <c r="AQ129" s="70"/>
      <c r="AR129" s="79" t="s">
        <v>162</v>
      </c>
      <c r="AS129" s="79"/>
      <c r="AT129" s="79" t="s">
        <v>163</v>
      </c>
      <c r="AU129" s="70"/>
      <c r="AV129" s="79"/>
      <c r="AW129" s="79"/>
      <c r="AX129" s="79">
        <f>7800*0.7*10^(-3)</f>
        <v>5.46</v>
      </c>
      <c r="AY129" s="79" t="s">
        <v>67</v>
      </c>
      <c r="AZ129" s="79" t="s">
        <v>164</v>
      </c>
      <c r="BA129" s="79" t="s">
        <v>165</v>
      </c>
      <c r="BB129" s="79">
        <v>2.0169999999999999</v>
      </c>
      <c r="BC129" s="79" t="s">
        <v>67</v>
      </c>
      <c r="BD129" s="243"/>
      <c r="BE129" s="147"/>
    </row>
    <row r="130" spans="2:58" ht="18" customHeight="1" x14ac:dyDescent="0.2">
      <c r="B130" s="57"/>
      <c r="C130" s="57"/>
      <c r="D130" s="57"/>
      <c r="E130" s="57"/>
      <c r="F130" s="57"/>
      <c r="G130" s="57"/>
      <c r="H130" s="57"/>
      <c r="I130" s="57"/>
      <c r="J130" s="57"/>
      <c r="K130" s="57"/>
      <c r="L130" s="57"/>
      <c r="M130" s="57"/>
      <c r="N130" s="57"/>
      <c r="O130" s="57"/>
      <c r="X130" s="1171">
        <v>10</v>
      </c>
      <c r="Y130" s="694" t="s">
        <v>561</v>
      </c>
      <c r="Z130" s="695" t="s">
        <v>561</v>
      </c>
      <c r="AA130" s="695" t="s">
        <v>561</v>
      </c>
      <c r="AB130" s="695" t="s">
        <v>561</v>
      </c>
      <c r="AC130" s="149">
        <v>314</v>
      </c>
      <c r="AD130" s="226">
        <v>254</v>
      </c>
      <c r="AE130" s="124"/>
      <c r="AF130" s="124"/>
      <c r="AG130" s="79"/>
      <c r="AH130" s="79"/>
      <c r="AI130" s="1171">
        <v>10</v>
      </c>
      <c r="AJ130" s="694" t="s">
        <v>561</v>
      </c>
      <c r="AK130" s="695" t="s">
        <v>561</v>
      </c>
      <c r="AL130" s="695" t="s">
        <v>561</v>
      </c>
      <c r="AM130" s="695" t="s">
        <v>561</v>
      </c>
      <c r="AN130" s="149">
        <v>15.5</v>
      </c>
      <c r="AO130" s="226">
        <v>15.5</v>
      </c>
      <c r="AP130" s="64"/>
      <c r="AQ130" s="70"/>
      <c r="AR130" s="79" t="s">
        <v>166</v>
      </c>
      <c r="AS130" s="79"/>
      <c r="AT130" s="79" t="s">
        <v>167</v>
      </c>
      <c r="AU130" s="70"/>
      <c r="AV130" s="79"/>
      <c r="AW130" s="79"/>
      <c r="AX130" s="79"/>
      <c r="AY130" s="79"/>
      <c r="AZ130" s="79"/>
      <c r="BA130" s="79" t="s">
        <v>168</v>
      </c>
      <c r="BB130" s="79">
        <f>201*10^(-6)*7800/0.333</f>
        <v>4.7081081081081075</v>
      </c>
      <c r="BC130" s="79" t="s">
        <v>67</v>
      </c>
      <c r="BD130" s="323">
        <f>BB129+BB130</f>
        <v>6.7251081081081079</v>
      </c>
      <c r="BE130" s="147"/>
    </row>
    <row r="131" spans="2:58" ht="18" customHeight="1" x14ac:dyDescent="0.2">
      <c r="B131" s="151"/>
      <c r="C131" s="151"/>
      <c r="D131" s="151"/>
      <c r="E131" s="151"/>
      <c r="F131" s="151"/>
      <c r="G131" s="151"/>
      <c r="H131" s="151"/>
      <c r="I131" s="151"/>
      <c r="J131" s="151"/>
      <c r="K131" s="151"/>
      <c r="L131" s="57"/>
      <c r="M131" s="57"/>
      <c r="N131" s="57"/>
      <c r="O131" s="57"/>
      <c r="X131" s="1171">
        <v>15</v>
      </c>
      <c r="Y131" s="694" t="s">
        <v>561</v>
      </c>
      <c r="Z131" s="695" t="s">
        <v>561</v>
      </c>
      <c r="AA131" s="695" t="s">
        <v>561</v>
      </c>
      <c r="AB131" s="695" t="s">
        <v>561</v>
      </c>
      <c r="AC131" s="695" t="s">
        <v>561</v>
      </c>
      <c r="AD131" s="696" t="s">
        <v>561</v>
      </c>
      <c r="AE131" s="124"/>
      <c r="AF131" s="124"/>
      <c r="AG131" s="79"/>
      <c r="AH131" s="79"/>
      <c r="AI131" s="1171">
        <v>15</v>
      </c>
      <c r="AJ131" s="694" t="s">
        <v>561</v>
      </c>
      <c r="AK131" s="695" t="s">
        <v>561</v>
      </c>
      <c r="AL131" s="695" t="s">
        <v>561</v>
      </c>
      <c r="AM131" s="695" t="s">
        <v>561</v>
      </c>
      <c r="AN131" s="695" t="s">
        <v>561</v>
      </c>
      <c r="AO131" s="696" t="s">
        <v>561</v>
      </c>
      <c r="AP131" s="64"/>
      <c r="AQ131" s="70"/>
      <c r="AR131" s="79"/>
      <c r="AS131" s="79"/>
      <c r="AT131" s="79" t="s">
        <v>169</v>
      </c>
      <c r="AU131" s="70"/>
      <c r="AV131" s="79"/>
      <c r="AW131" s="79"/>
      <c r="AX131" s="79">
        <f>7800*0.9*10^(-3)*1.434</f>
        <v>10.06668</v>
      </c>
      <c r="AY131" s="79" t="s">
        <v>67</v>
      </c>
      <c r="AZ131" s="79" t="s">
        <v>170</v>
      </c>
      <c r="BA131" s="79" t="s">
        <v>171</v>
      </c>
      <c r="BB131" s="79">
        <v>2.9079999999999999</v>
      </c>
      <c r="BC131" s="79" t="s">
        <v>67</v>
      </c>
      <c r="BD131" s="323"/>
      <c r="BE131" s="147"/>
    </row>
    <row r="132" spans="2:58" ht="18" customHeight="1" x14ac:dyDescent="0.2">
      <c r="B132" s="151"/>
      <c r="C132" s="148"/>
      <c r="D132" s="154"/>
      <c r="E132" s="154"/>
      <c r="F132" s="154"/>
      <c r="G132" s="154"/>
      <c r="H132" s="151"/>
      <c r="I132" s="151"/>
      <c r="J132" s="151"/>
      <c r="K132" s="151"/>
      <c r="L132" s="57"/>
      <c r="M132" s="57"/>
      <c r="N132" s="57"/>
      <c r="O132" s="57"/>
      <c r="X132" s="280">
        <v>20</v>
      </c>
      <c r="Y132" s="697" t="s">
        <v>561</v>
      </c>
      <c r="Z132" s="698" t="s">
        <v>561</v>
      </c>
      <c r="AA132" s="698" t="s">
        <v>561</v>
      </c>
      <c r="AB132" s="698" t="s">
        <v>561</v>
      </c>
      <c r="AC132" s="698" t="s">
        <v>561</v>
      </c>
      <c r="AD132" s="699" t="s">
        <v>561</v>
      </c>
      <c r="AE132" s="124"/>
      <c r="AF132" s="124"/>
      <c r="AG132" s="79"/>
      <c r="AH132" s="79"/>
      <c r="AI132" s="280">
        <v>20</v>
      </c>
      <c r="AJ132" s="697" t="s">
        <v>561</v>
      </c>
      <c r="AK132" s="698" t="s">
        <v>561</v>
      </c>
      <c r="AL132" s="698" t="s">
        <v>561</v>
      </c>
      <c r="AM132" s="698" t="s">
        <v>561</v>
      </c>
      <c r="AN132" s="698" t="s">
        <v>561</v>
      </c>
      <c r="AO132" s="699" t="s">
        <v>561</v>
      </c>
      <c r="AP132" s="64"/>
      <c r="AQ132" s="70"/>
      <c r="AR132" s="79"/>
      <c r="AS132" s="79"/>
      <c r="AT132" s="79"/>
      <c r="AU132" s="79"/>
      <c r="AV132" s="79"/>
      <c r="AW132" s="79" t="s">
        <v>161</v>
      </c>
      <c r="AX132" s="79">
        <f>AX129+AX131</f>
        <v>15.526679999999999</v>
      </c>
      <c r="AY132" s="79" t="s">
        <v>67</v>
      </c>
      <c r="AZ132" s="79"/>
      <c r="BA132" s="79" t="s">
        <v>172</v>
      </c>
      <c r="BB132" s="79">
        <f>314*10^(-6)*7800/0.333</f>
        <v>7.3549549549549544</v>
      </c>
      <c r="BC132" s="79" t="s">
        <v>67</v>
      </c>
      <c r="BD132" s="323">
        <f>BB131+BB132</f>
        <v>10.262954954954955</v>
      </c>
      <c r="BE132" s="147"/>
    </row>
    <row r="133" spans="2:58" ht="18" customHeight="1" x14ac:dyDescent="0.2">
      <c r="B133" s="151"/>
      <c r="C133" s="148"/>
      <c r="D133" s="148"/>
      <c r="E133" s="148"/>
      <c r="F133" s="148"/>
      <c r="G133" s="148"/>
      <c r="H133" s="148"/>
      <c r="I133" s="148"/>
      <c r="J133" s="154"/>
      <c r="K133" s="154"/>
      <c r="L133" s="57"/>
      <c r="M133" s="57"/>
      <c r="N133" s="57"/>
      <c r="O133" s="57"/>
      <c r="X133" s="335"/>
      <c r="Y133" s="79"/>
      <c r="Z133" s="79"/>
      <c r="AA133" s="79"/>
      <c r="AB133" s="79"/>
      <c r="AC133" s="79"/>
      <c r="AD133" s="79"/>
      <c r="AE133" s="124"/>
      <c r="AF133" s="124"/>
      <c r="AG133" s="79"/>
      <c r="AH133" s="79"/>
      <c r="AI133" s="79"/>
      <c r="AJ133" s="79"/>
      <c r="AK133" s="79"/>
      <c r="AL133" s="79"/>
      <c r="AM133" s="79"/>
      <c r="AN133" s="79"/>
      <c r="AO133" s="79"/>
      <c r="AP133" s="64"/>
      <c r="AQ133" s="70"/>
      <c r="AR133" s="79"/>
      <c r="AS133" s="79"/>
      <c r="AT133" s="79"/>
      <c r="AU133" s="79"/>
      <c r="AV133" s="79"/>
      <c r="AW133" s="79"/>
      <c r="AX133" s="79"/>
      <c r="AY133" s="79"/>
      <c r="AZ133" s="79"/>
      <c r="BA133" s="79"/>
      <c r="BB133" s="79"/>
      <c r="BC133" s="79"/>
      <c r="BD133" s="323"/>
      <c r="BE133" s="147"/>
    </row>
    <row r="134" spans="2:58" ht="18" customHeight="1" x14ac:dyDescent="0.2">
      <c r="B134" s="151"/>
      <c r="C134" s="148"/>
      <c r="D134" s="162"/>
      <c r="E134" s="162"/>
      <c r="F134" s="162"/>
      <c r="G134" s="162"/>
      <c r="H134" s="162"/>
      <c r="I134" s="162"/>
      <c r="J134" s="154"/>
      <c r="K134" s="154"/>
      <c r="L134" s="57"/>
      <c r="M134" s="57"/>
      <c r="N134" s="57"/>
      <c r="O134" s="57"/>
      <c r="X134" s="278" t="s">
        <v>1076</v>
      </c>
      <c r="Y134" s="301">
        <v>16</v>
      </c>
      <c r="Z134" s="302">
        <v>12.6</v>
      </c>
      <c r="AA134" s="302">
        <v>10.8</v>
      </c>
      <c r="AB134" s="302">
        <v>7.2</v>
      </c>
      <c r="AC134" s="302">
        <v>5.4</v>
      </c>
      <c r="AD134" s="303">
        <v>3.6</v>
      </c>
      <c r="AE134" s="124"/>
      <c r="AF134" s="124"/>
      <c r="AG134" s="79"/>
      <c r="AH134" s="79"/>
      <c r="AI134" s="278" t="s">
        <v>91</v>
      </c>
      <c r="AJ134" s="301">
        <v>16</v>
      </c>
      <c r="AK134" s="302">
        <v>12.6</v>
      </c>
      <c r="AL134" s="302">
        <v>10.8</v>
      </c>
      <c r="AM134" s="302">
        <v>7.2</v>
      </c>
      <c r="AN134" s="302">
        <v>5.4</v>
      </c>
      <c r="AO134" s="303">
        <v>3.6</v>
      </c>
      <c r="AP134" s="64"/>
      <c r="AQ134" s="70"/>
      <c r="AR134" s="70"/>
      <c r="AS134" s="70"/>
      <c r="AT134" s="70"/>
      <c r="AU134" s="70"/>
      <c r="AV134" s="70"/>
      <c r="AW134" s="70"/>
      <c r="AX134" s="70"/>
      <c r="AY134" s="70"/>
      <c r="AZ134" s="70"/>
      <c r="BA134" s="70"/>
      <c r="BB134" s="70"/>
      <c r="BC134" s="79"/>
      <c r="BD134" s="323"/>
      <c r="BE134" s="147"/>
    </row>
    <row r="135" spans="2:58" ht="18" customHeight="1" x14ac:dyDescent="0.2">
      <c r="B135" s="151"/>
      <c r="C135" s="148"/>
      <c r="D135" s="151"/>
      <c r="E135" s="151"/>
      <c r="F135" s="151"/>
      <c r="G135" s="151"/>
      <c r="H135" s="151"/>
      <c r="I135" s="151"/>
      <c r="J135" s="154"/>
      <c r="K135" s="154"/>
      <c r="L135" s="57"/>
      <c r="M135" s="57"/>
      <c r="N135" s="57"/>
      <c r="O135" s="57"/>
      <c r="X135" s="1171">
        <v>5</v>
      </c>
      <c r="Y135" s="692" t="s">
        <v>561</v>
      </c>
      <c r="Z135" s="693" t="s">
        <v>561</v>
      </c>
      <c r="AA135" s="693" t="s">
        <v>561</v>
      </c>
      <c r="AB135" s="693" t="s">
        <v>561</v>
      </c>
      <c r="AC135" s="305">
        <v>193</v>
      </c>
      <c r="AD135" s="306">
        <v>179.6</v>
      </c>
      <c r="AE135" s="124"/>
      <c r="AF135" s="124"/>
      <c r="AG135" s="79"/>
      <c r="AH135" s="79"/>
      <c r="AI135" s="1171">
        <v>5</v>
      </c>
      <c r="AJ135" s="692" t="s">
        <v>561</v>
      </c>
      <c r="AK135" s="693" t="s">
        <v>561</v>
      </c>
      <c r="AL135" s="693" t="s">
        <v>561</v>
      </c>
      <c r="AM135" s="693" t="s">
        <v>561</v>
      </c>
      <c r="AN135" s="305">
        <v>8</v>
      </c>
      <c r="AO135" s="306">
        <v>7</v>
      </c>
      <c r="AP135" s="64"/>
      <c r="AQ135" s="70"/>
      <c r="AR135" s="70" t="s">
        <v>173</v>
      </c>
      <c r="AS135" s="70"/>
      <c r="AT135" s="70" t="s">
        <v>174</v>
      </c>
      <c r="AU135" s="70"/>
      <c r="AV135" s="70"/>
      <c r="AW135" s="70"/>
      <c r="AX135" s="70"/>
      <c r="AY135" s="70"/>
      <c r="AZ135" s="70"/>
      <c r="BA135" s="70"/>
      <c r="BB135" s="70"/>
      <c r="BC135" s="79"/>
      <c r="BD135" s="323"/>
      <c r="BE135" s="147"/>
    </row>
    <row r="136" spans="2:58" ht="18" customHeight="1" x14ac:dyDescent="0.2">
      <c r="B136" s="151"/>
      <c r="C136" s="148"/>
      <c r="D136" s="151"/>
      <c r="E136" s="151"/>
      <c r="F136" s="151"/>
      <c r="G136" s="151"/>
      <c r="H136" s="151"/>
      <c r="I136" s="151"/>
      <c r="J136" s="154"/>
      <c r="K136" s="154"/>
      <c r="L136" s="57"/>
      <c r="M136" s="57"/>
      <c r="N136" s="57"/>
      <c r="O136" s="57"/>
      <c r="X136" s="1171">
        <v>10</v>
      </c>
      <c r="Y136" s="694" t="s">
        <v>561</v>
      </c>
      <c r="Z136" s="695" t="s">
        <v>561</v>
      </c>
      <c r="AA136" s="695" t="s">
        <v>561</v>
      </c>
      <c r="AB136" s="695" t="s">
        <v>561</v>
      </c>
      <c r="AC136" s="149">
        <v>205.5</v>
      </c>
      <c r="AD136" s="226">
        <v>179.6</v>
      </c>
      <c r="AE136" s="124"/>
      <c r="AF136" s="124"/>
      <c r="AG136" s="79"/>
      <c r="AH136" s="79"/>
      <c r="AI136" s="1171">
        <v>10</v>
      </c>
      <c r="AJ136" s="694" t="s">
        <v>561</v>
      </c>
      <c r="AK136" s="695" t="s">
        <v>561</v>
      </c>
      <c r="AL136" s="695" t="s">
        <v>561</v>
      </c>
      <c r="AM136" s="695" t="s">
        <v>561</v>
      </c>
      <c r="AN136" s="149">
        <v>10.3</v>
      </c>
      <c r="AO136" s="226">
        <v>6.73</v>
      </c>
      <c r="AP136" s="64"/>
      <c r="AQ136" s="151"/>
      <c r="AR136" s="70"/>
      <c r="AS136" s="70"/>
      <c r="AT136" s="70" t="s">
        <v>175</v>
      </c>
      <c r="AU136" s="70"/>
      <c r="AV136" s="70"/>
      <c r="AW136" s="70">
        <f>66*1000</f>
        <v>66000</v>
      </c>
      <c r="AX136" s="70"/>
      <c r="AY136" s="70"/>
      <c r="AZ136" s="70"/>
      <c r="BA136" s="70"/>
      <c r="BB136" s="70"/>
      <c r="BC136" s="79"/>
      <c r="BD136" s="323"/>
      <c r="BE136" s="147"/>
    </row>
    <row r="137" spans="2:58" ht="18" customHeight="1" x14ac:dyDescent="0.2">
      <c r="B137" s="151"/>
      <c r="C137" s="148"/>
      <c r="D137" s="151"/>
      <c r="E137" s="151"/>
      <c r="F137" s="151"/>
      <c r="G137" s="151"/>
      <c r="H137" s="151"/>
      <c r="I137" s="151"/>
      <c r="J137" s="154"/>
      <c r="K137" s="154"/>
      <c r="L137" s="57"/>
      <c r="M137" s="57"/>
      <c r="N137" s="57"/>
      <c r="O137" s="57"/>
      <c r="X137" s="1171">
        <v>15</v>
      </c>
      <c r="Y137" s="694" t="s">
        <v>561</v>
      </c>
      <c r="Z137" s="695" t="s">
        <v>561</v>
      </c>
      <c r="AA137" s="695" t="s">
        <v>561</v>
      </c>
      <c r="AB137" s="695" t="s">
        <v>561</v>
      </c>
      <c r="AC137" s="695" t="s">
        <v>561</v>
      </c>
      <c r="AD137" s="696" t="s">
        <v>561</v>
      </c>
      <c r="AE137" s="124"/>
      <c r="AF137" s="124"/>
      <c r="AG137" s="79"/>
      <c r="AH137" s="79"/>
      <c r="AI137" s="1171">
        <v>15</v>
      </c>
      <c r="AJ137" s="694" t="s">
        <v>561</v>
      </c>
      <c r="AK137" s="695" t="s">
        <v>561</v>
      </c>
      <c r="AL137" s="695" t="s">
        <v>561</v>
      </c>
      <c r="AM137" s="695" t="s">
        <v>561</v>
      </c>
      <c r="AN137" s="695" t="s">
        <v>561</v>
      </c>
      <c r="AO137" s="696" t="s">
        <v>561</v>
      </c>
      <c r="AP137" s="64"/>
      <c r="AQ137" s="151"/>
      <c r="AR137" s="70"/>
      <c r="AS137" s="70"/>
      <c r="AT137" s="70" t="s">
        <v>176</v>
      </c>
      <c r="AU137" s="70"/>
      <c r="AV137" s="70"/>
      <c r="AW137" s="70">
        <f>3*(2*0.5*85*108+40*108)</f>
        <v>40500</v>
      </c>
      <c r="AX137" s="70"/>
      <c r="AY137" s="70"/>
      <c r="AZ137" s="70"/>
      <c r="BA137" s="70"/>
      <c r="BB137" s="70"/>
      <c r="BC137" s="79"/>
      <c r="BD137" s="323"/>
      <c r="BE137" s="147"/>
    </row>
    <row r="138" spans="2:58" ht="18" customHeight="1" x14ac:dyDescent="0.2">
      <c r="B138" s="151"/>
      <c r="C138" s="148"/>
      <c r="D138" s="151"/>
      <c r="E138" s="151"/>
      <c r="F138" s="151"/>
      <c r="G138" s="151"/>
      <c r="H138" s="154"/>
      <c r="I138" s="148"/>
      <c r="J138" s="154"/>
      <c r="K138" s="154"/>
      <c r="L138" s="57"/>
      <c r="M138" s="57"/>
      <c r="N138" s="57"/>
      <c r="O138" s="57"/>
      <c r="X138" s="280">
        <v>20</v>
      </c>
      <c r="Y138" s="697" t="s">
        <v>561</v>
      </c>
      <c r="Z138" s="698" t="s">
        <v>561</v>
      </c>
      <c r="AA138" s="698" t="s">
        <v>561</v>
      </c>
      <c r="AB138" s="698" t="s">
        <v>561</v>
      </c>
      <c r="AC138" s="698" t="s">
        <v>561</v>
      </c>
      <c r="AD138" s="699" t="s">
        <v>561</v>
      </c>
      <c r="AE138" s="124"/>
      <c r="AF138" s="124"/>
      <c r="AG138" s="66"/>
      <c r="AH138" s="66"/>
      <c r="AI138" s="280">
        <v>20</v>
      </c>
      <c r="AJ138" s="697" t="s">
        <v>561</v>
      </c>
      <c r="AK138" s="698" t="s">
        <v>561</v>
      </c>
      <c r="AL138" s="698" t="s">
        <v>561</v>
      </c>
      <c r="AM138" s="698" t="s">
        <v>561</v>
      </c>
      <c r="AN138" s="698" t="s">
        <v>561</v>
      </c>
      <c r="AO138" s="699" t="s">
        <v>561</v>
      </c>
      <c r="AP138" s="64"/>
      <c r="AQ138" s="151"/>
      <c r="AR138" s="79"/>
      <c r="AS138" s="79"/>
      <c r="AT138" s="79"/>
      <c r="AU138" s="79"/>
      <c r="AV138" s="79" t="s">
        <v>177</v>
      </c>
      <c r="AW138" s="79">
        <f>AW136+AW137</f>
        <v>106500</v>
      </c>
      <c r="AX138" s="79" t="s">
        <v>178</v>
      </c>
      <c r="AY138" s="79"/>
      <c r="AZ138" s="79"/>
      <c r="BA138" s="79"/>
      <c r="BB138" s="79"/>
      <c r="BC138" s="79"/>
      <c r="BD138" s="323"/>
      <c r="BE138" s="147"/>
    </row>
    <row r="139" spans="2:58" ht="18" customHeight="1" x14ac:dyDescent="0.2">
      <c r="B139" s="151"/>
      <c r="C139" s="151"/>
      <c r="D139" s="151"/>
      <c r="E139" s="151"/>
      <c r="F139" s="151"/>
      <c r="G139" s="151"/>
      <c r="H139" s="154"/>
      <c r="I139" s="148"/>
      <c r="J139" s="154"/>
      <c r="K139" s="154"/>
      <c r="L139" s="57"/>
      <c r="M139" s="57"/>
      <c r="N139" s="57"/>
      <c r="O139" s="57"/>
      <c r="X139" s="336"/>
      <c r="Y139" s="79"/>
      <c r="Z139" s="79"/>
      <c r="AA139" s="79"/>
      <c r="AB139" s="79"/>
      <c r="AC139" s="79"/>
      <c r="AD139" s="66"/>
      <c r="AE139" s="124"/>
      <c r="AF139" s="124"/>
      <c r="AG139" s="79"/>
      <c r="AH139" s="79"/>
      <c r="AI139" s="79"/>
      <c r="AJ139" s="161"/>
      <c r="AK139" s="161"/>
      <c r="AL139" s="161"/>
      <c r="AM139" s="161"/>
      <c r="AN139" s="66"/>
      <c r="AO139" s="79"/>
      <c r="AP139" s="64"/>
      <c r="AQ139" s="151"/>
      <c r="AR139" s="70"/>
      <c r="AS139" s="70"/>
      <c r="AT139" s="70"/>
      <c r="AU139" s="70"/>
      <c r="AV139" s="70"/>
      <c r="AW139" s="70"/>
      <c r="AX139" s="70"/>
      <c r="AY139" s="70"/>
      <c r="AZ139" s="70"/>
      <c r="BA139" s="70"/>
      <c r="BB139" s="70"/>
      <c r="BC139" s="70"/>
      <c r="BD139" s="243"/>
      <c r="BE139" s="147"/>
      <c r="BF139" s="64"/>
    </row>
    <row r="140" spans="2:58" ht="18" customHeight="1" x14ac:dyDescent="0.2">
      <c r="B140" s="151"/>
      <c r="C140" s="148"/>
      <c r="D140" s="154"/>
      <c r="E140" s="154"/>
      <c r="F140" s="154"/>
      <c r="G140" s="154"/>
      <c r="H140" s="154"/>
      <c r="I140" s="148"/>
      <c r="J140" s="154"/>
      <c r="K140" s="154"/>
      <c r="L140" s="57"/>
      <c r="M140" s="57"/>
      <c r="N140" s="57"/>
      <c r="O140" s="57"/>
      <c r="P140" s="51"/>
      <c r="X140" s="326" t="s">
        <v>173</v>
      </c>
      <c r="Y140" s="327">
        <v>32</v>
      </c>
      <c r="Z140" s="328" t="s">
        <v>137</v>
      </c>
      <c r="AA140" s="79"/>
      <c r="AB140" s="79"/>
      <c r="AC140" s="79"/>
      <c r="AD140" s="79"/>
      <c r="AE140" s="124"/>
      <c r="AF140" s="124"/>
      <c r="AG140" s="79"/>
      <c r="AH140" s="79"/>
      <c r="AI140" s="278" t="s">
        <v>90</v>
      </c>
      <c r="AJ140" s="301">
        <v>16</v>
      </c>
      <c r="AK140" s="302">
        <v>12.6</v>
      </c>
      <c r="AL140" s="302">
        <v>10.8</v>
      </c>
      <c r="AM140" s="302">
        <v>7.2</v>
      </c>
      <c r="AN140" s="302">
        <v>5.4</v>
      </c>
      <c r="AO140" s="303">
        <v>3.6</v>
      </c>
      <c r="AP140" s="64"/>
      <c r="AQ140" s="70"/>
      <c r="AR140" s="70"/>
      <c r="AS140" s="70"/>
      <c r="AT140" s="70"/>
      <c r="AU140" s="70"/>
      <c r="AV140" s="70" t="s">
        <v>179</v>
      </c>
      <c r="AW140" s="70" t="s">
        <v>179</v>
      </c>
      <c r="AX140" s="70"/>
      <c r="AY140" s="70"/>
      <c r="AZ140" s="70"/>
      <c r="BA140" s="70"/>
      <c r="BB140" s="70"/>
      <c r="BC140" s="70"/>
      <c r="BD140" s="243"/>
      <c r="BE140" s="147"/>
      <c r="BF140" s="64"/>
    </row>
    <row r="141" spans="2:58" ht="18" customHeight="1" x14ac:dyDescent="0.2">
      <c r="B141" s="151"/>
      <c r="C141" s="148"/>
      <c r="D141" s="154"/>
      <c r="E141" s="154"/>
      <c r="F141" s="154"/>
      <c r="G141" s="151"/>
      <c r="H141" s="151"/>
      <c r="I141" s="154"/>
      <c r="J141" s="154"/>
      <c r="K141" s="151"/>
      <c r="L141" s="57"/>
      <c r="M141" s="57"/>
      <c r="N141" s="57"/>
      <c r="O141" s="57"/>
      <c r="P141" s="51"/>
      <c r="X141" s="326" t="s">
        <v>174</v>
      </c>
      <c r="Y141" s="327">
        <v>106500</v>
      </c>
      <c r="Z141" s="328" t="s">
        <v>128</v>
      </c>
      <c r="AA141" s="79"/>
      <c r="AB141" s="79"/>
      <c r="AC141" s="79"/>
      <c r="AD141" s="79"/>
      <c r="AE141" s="124"/>
      <c r="AF141" s="124"/>
      <c r="AG141" s="79"/>
      <c r="AH141" s="79"/>
      <c r="AI141" s="1171">
        <v>5</v>
      </c>
      <c r="AJ141" s="692" t="s">
        <v>561</v>
      </c>
      <c r="AK141" s="693" t="s">
        <v>561</v>
      </c>
      <c r="AL141" s="693" t="s">
        <v>561</v>
      </c>
      <c r="AM141" s="693" t="s">
        <v>561</v>
      </c>
      <c r="AN141" s="305">
        <v>2.5</v>
      </c>
      <c r="AO141" s="306">
        <v>2</v>
      </c>
      <c r="AP141" s="64"/>
      <c r="AQ141" s="70"/>
      <c r="AR141" s="79" t="s">
        <v>180</v>
      </c>
      <c r="AS141" s="79"/>
      <c r="AT141" s="79">
        <v>22.5</v>
      </c>
      <c r="AU141" s="79" t="s">
        <v>137</v>
      </c>
      <c r="AV141" s="79">
        <f>2*0.5*85*108</f>
        <v>9180</v>
      </c>
      <c r="AW141" s="79">
        <f>40*108</f>
        <v>4320</v>
      </c>
      <c r="AX141" s="79">
        <f>AV141+AW141</f>
        <v>13500</v>
      </c>
      <c r="AY141" s="70" t="s">
        <v>181</v>
      </c>
      <c r="AZ141" s="79"/>
      <c r="BA141" s="79">
        <f>AV141+AW141</f>
        <v>13500</v>
      </c>
      <c r="BB141" s="79" t="s">
        <v>128</v>
      </c>
      <c r="BC141" s="70"/>
      <c r="BD141" s="243"/>
      <c r="BE141" s="147"/>
      <c r="BF141" s="64"/>
    </row>
    <row r="142" spans="2:58" ht="18" customHeight="1" x14ac:dyDescent="0.2">
      <c r="B142" s="151"/>
      <c r="C142" s="148"/>
      <c r="D142" s="154"/>
      <c r="E142" s="154"/>
      <c r="F142" s="154"/>
      <c r="G142" s="154"/>
      <c r="H142" s="151"/>
      <c r="I142" s="154"/>
      <c r="J142" s="154"/>
      <c r="K142" s="151"/>
      <c r="L142" s="57"/>
      <c r="M142" s="57"/>
      <c r="N142" s="57"/>
      <c r="O142" s="57"/>
      <c r="P142" s="51"/>
      <c r="X142" s="326" t="s">
        <v>182</v>
      </c>
      <c r="Y142" s="327">
        <v>1000</v>
      </c>
      <c r="Z142" s="328" t="s">
        <v>130</v>
      </c>
      <c r="AA142" s="79"/>
      <c r="AB142" s="79"/>
      <c r="AC142" s="79"/>
      <c r="AD142" s="79"/>
      <c r="AE142" s="124"/>
      <c r="AF142" s="124"/>
      <c r="AG142" s="79"/>
      <c r="AH142" s="79"/>
      <c r="AI142" s="1171">
        <v>10</v>
      </c>
      <c r="AJ142" s="694" t="s">
        <v>561</v>
      </c>
      <c r="AK142" s="695" t="s">
        <v>561</v>
      </c>
      <c r="AL142" s="695" t="s">
        <v>561</v>
      </c>
      <c r="AM142" s="695" t="s">
        <v>561</v>
      </c>
      <c r="AN142" s="149">
        <v>2.74</v>
      </c>
      <c r="AO142" s="226">
        <v>1.63</v>
      </c>
      <c r="AP142" s="64"/>
      <c r="AQ142" s="70"/>
      <c r="AR142" s="79" t="s">
        <v>183</v>
      </c>
      <c r="AS142" s="79"/>
      <c r="AT142" s="79"/>
      <c r="AU142" s="79"/>
      <c r="AV142" s="79"/>
      <c r="AW142" s="79"/>
      <c r="AX142" s="79">
        <f>138*(333-60)</f>
        <v>37674</v>
      </c>
      <c r="AY142" s="79"/>
      <c r="AZ142" s="79"/>
      <c r="BA142" s="79">
        <f>198*(333-60)</f>
        <v>54054</v>
      </c>
      <c r="BB142" s="79"/>
      <c r="BC142" s="70"/>
      <c r="BD142" s="243"/>
      <c r="BE142" s="147"/>
      <c r="BF142" s="64"/>
    </row>
    <row r="143" spans="2:58" ht="18" customHeight="1" x14ac:dyDescent="0.2">
      <c r="B143" s="151"/>
      <c r="C143" s="148"/>
      <c r="D143" s="154"/>
      <c r="E143" s="154"/>
      <c r="F143" s="154"/>
      <c r="G143" s="154"/>
      <c r="H143" s="154"/>
      <c r="I143" s="148"/>
      <c r="J143" s="154"/>
      <c r="K143" s="154"/>
      <c r="L143" s="57"/>
      <c r="M143" s="57"/>
      <c r="N143" s="57"/>
      <c r="O143" s="57"/>
      <c r="P143" s="51"/>
      <c r="X143" s="312" t="s">
        <v>173</v>
      </c>
      <c r="Y143" s="313">
        <f>Y141/Y142*10^(-3)*Y140</f>
        <v>3.4079999999999999</v>
      </c>
      <c r="Z143" s="314" t="s">
        <v>67</v>
      </c>
      <c r="AA143" s="79"/>
      <c r="AB143" s="79"/>
      <c r="AC143" s="79"/>
      <c r="AD143" s="79"/>
      <c r="AE143" s="124"/>
      <c r="AF143" s="124"/>
      <c r="AG143" s="79"/>
      <c r="AH143" s="79"/>
      <c r="AI143" s="1171">
        <v>15</v>
      </c>
      <c r="AJ143" s="694" t="s">
        <v>561</v>
      </c>
      <c r="AK143" s="695" t="s">
        <v>561</v>
      </c>
      <c r="AL143" s="695" t="s">
        <v>561</v>
      </c>
      <c r="AM143" s="695" t="s">
        <v>561</v>
      </c>
      <c r="AN143" s="695" t="s">
        <v>561</v>
      </c>
      <c r="AO143" s="696" t="s">
        <v>561</v>
      </c>
      <c r="AP143" s="64"/>
      <c r="AQ143" s="70"/>
      <c r="AR143" s="79"/>
      <c r="AS143" s="79"/>
      <c r="AT143" s="79"/>
      <c r="AU143" s="79"/>
      <c r="AV143" s="79"/>
      <c r="AW143" s="79" t="s">
        <v>161</v>
      </c>
      <c r="AX143" s="79">
        <f>AX142-BA141</f>
        <v>24174</v>
      </c>
      <c r="AY143" s="79" t="s">
        <v>184</v>
      </c>
      <c r="AZ143" s="79" t="s">
        <v>161</v>
      </c>
      <c r="BA143" s="79">
        <f>BA142-BA141</f>
        <v>40554</v>
      </c>
      <c r="BB143" s="79" t="s">
        <v>184</v>
      </c>
      <c r="BC143" s="70"/>
      <c r="BD143" s="243"/>
      <c r="BE143" s="147"/>
      <c r="BF143" s="64"/>
    </row>
    <row r="144" spans="2:58" ht="18" customHeight="1" x14ac:dyDescent="0.2">
      <c r="P144" s="51"/>
      <c r="X144" s="335"/>
      <c r="Y144" s="79"/>
      <c r="Z144" s="79"/>
      <c r="AA144" s="79"/>
      <c r="AB144" s="79"/>
      <c r="AC144" s="79"/>
      <c r="AD144" s="79"/>
      <c r="AE144" s="124"/>
      <c r="AF144" s="124"/>
      <c r="AG144" s="79"/>
      <c r="AH144" s="79"/>
      <c r="AI144" s="280">
        <v>20</v>
      </c>
      <c r="AJ144" s="697" t="s">
        <v>561</v>
      </c>
      <c r="AK144" s="698" t="s">
        <v>561</v>
      </c>
      <c r="AL144" s="698" t="s">
        <v>561</v>
      </c>
      <c r="AM144" s="698" t="s">
        <v>561</v>
      </c>
      <c r="AN144" s="698" t="s">
        <v>561</v>
      </c>
      <c r="AO144" s="699" t="s">
        <v>561</v>
      </c>
      <c r="AP144" s="64"/>
      <c r="AQ144" s="70"/>
      <c r="AR144" s="79"/>
      <c r="AS144" s="79"/>
      <c r="AT144" s="79"/>
      <c r="AU144" s="79"/>
      <c r="AV144" s="79"/>
      <c r="AW144" s="79"/>
      <c r="AX144" s="79">
        <f>AX143*10^(-6)*AT141/0.333</f>
        <v>1.633378378378378</v>
      </c>
      <c r="AY144" s="79" t="s">
        <v>185</v>
      </c>
      <c r="AZ144" s="79"/>
      <c r="BA144" s="79">
        <f>BA143*10^(-6)*AT141/0.333</f>
        <v>2.7401351351351351</v>
      </c>
      <c r="BB144" s="79" t="s">
        <v>185</v>
      </c>
      <c r="BC144" s="70"/>
      <c r="BD144" s="243"/>
      <c r="BE144" s="147"/>
      <c r="BF144" s="64"/>
    </row>
    <row r="145" spans="2:58" ht="18" customHeight="1" x14ac:dyDescent="0.2">
      <c r="B145" s="151"/>
      <c r="C145" s="148"/>
      <c r="D145" s="154"/>
      <c r="E145" s="154"/>
      <c r="F145" s="154"/>
      <c r="G145" s="148"/>
      <c r="H145" s="148"/>
      <c r="I145" s="148"/>
      <c r="J145" s="148"/>
      <c r="K145" s="148"/>
      <c r="L145" s="57"/>
      <c r="M145" s="57"/>
      <c r="N145" s="57"/>
      <c r="O145" s="57"/>
      <c r="P145" s="51"/>
      <c r="X145" s="326" t="s">
        <v>280</v>
      </c>
      <c r="Y145" s="327">
        <v>2</v>
      </c>
      <c r="Z145" s="328" t="s">
        <v>16</v>
      </c>
      <c r="AA145" s="79"/>
      <c r="AB145" s="79"/>
      <c r="AC145" s="79"/>
      <c r="AD145" s="79"/>
      <c r="AE145" s="124"/>
      <c r="AF145" s="124"/>
      <c r="AG145" s="79"/>
      <c r="AH145" s="79"/>
      <c r="AI145" s="79"/>
      <c r="AJ145" s="79"/>
      <c r="AK145" s="79"/>
      <c r="AL145" s="79"/>
      <c r="AM145" s="79"/>
      <c r="AN145" s="79"/>
      <c r="AO145" s="79"/>
      <c r="AP145" s="70"/>
      <c r="AQ145" s="70"/>
      <c r="AR145" s="70"/>
      <c r="AS145" s="70"/>
      <c r="AT145" s="70"/>
      <c r="AU145" s="70"/>
      <c r="AV145" s="70"/>
      <c r="AW145" s="70"/>
      <c r="AX145" s="70"/>
      <c r="AY145" s="70"/>
      <c r="AZ145" s="70"/>
      <c r="BA145" s="70"/>
      <c r="BB145" s="70"/>
      <c r="BC145" s="70"/>
      <c r="BD145" s="243"/>
      <c r="BE145" s="147"/>
      <c r="BF145" s="64"/>
    </row>
    <row r="146" spans="2:58" ht="18" customHeight="1" thickBot="1" x14ac:dyDescent="0.25">
      <c r="B146" s="151"/>
      <c r="C146" s="148"/>
      <c r="D146" s="154"/>
      <c r="E146" s="154"/>
      <c r="F146" s="154"/>
      <c r="G146" s="154"/>
      <c r="H146" s="154"/>
      <c r="I146" s="148"/>
      <c r="J146" s="148"/>
      <c r="K146" s="148"/>
      <c r="L146" s="57"/>
      <c r="M146" s="57"/>
      <c r="N146" s="57"/>
      <c r="O146" s="57"/>
      <c r="P146" s="51"/>
      <c r="X146" s="335"/>
      <c r="Y146" s="79"/>
      <c r="Z146" s="79"/>
      <c r="AA146" s="79"/>
      <c r="AB146" s="79"/>
      <c r="AC146" s="79"/>
      <c r="AD146" s="79"/>
      <c r="AE146" s="124"/>
      <c r="AF146" s="124"/>
      <c r="AG146" s="79"/>
      <c r="AH146" s="79"/>
      <c r="AI146" s="79"/>
      <c r="AJ146" s="79"/>
      <c r="AK146" s="79"/>
      <c r="AL146" s="79"/>
      <c r="AM146" s="79"/>
      <c r="AN146" s="79"/>
      <c r="AO146" s="79"/>
      <c r="AP146" s="70"/>
      <c r="AQ146" s="70"/>
      <c r="AR146" s="70"/>
      <c r="AS146" s="70"/>
      <c r="AT146" s="70"/>
      <c r="AU146" s="70"/>
      <c r="AV146" s="70"/>
      <c r="AW146" s="70"/>
      <c r="AX146" s="70"/>
      <c r="AY146" s="70"/>
      <c r="AZ146" s="70"/>
      <c r="BA146" s="70"/>
      <c r="BB146" s="70"/>
      <c r="BC146" s="70"/>
      <c r="BD146" s="243"/>
      <c r="BE146" s="147"/>
      <c r="BF146" s="64"/>
    </row>
    <row r="147" spans="2:58" ht="18" customHeight="1" thickBot="1" x14ac:dyDescent="0.25">
      <c r="B147" s="151"/>
      <c r="C147" s="148"/>
      <c r="D147" s="154"/>
      <c r="E147" s="154"/>
      <c r="F147" s="154"/>
      <c r="G147" s="154"/>
      <c r="H147" s="164"/>
      <c r="I147" s="148"/>
      <c r="J147" s="154"/>
      <c r="K147" s="154"/>
      <c r="L147" s="57"/>
      <c r="M147" s="57"/>
      <c r="N147" s="57"/>
      <c r="O147" s="57"/>
      <c r="P147" s="51"/>
      <c r="X147" s="254" t="s">
        <v>857</v>
      </c>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6"/>
      <c r="BE147" s="147"/>
      <c r="BF147" s="64"/>
    </row>
    <row r="148" spans="2:58" ht="18" customHeight="1" x14ac:dyDescent="0.2">
      <c r="B148" s="151"/>
      <c r="C148" s="151"/>
      <c r="D148" s="151"/>
      <c r="E148" s="151"/>
      <c r="F148" s="151"/>
      <c r="G148" s="151"/>
      <c r="H148" s="154"/>
      <c r="I148" s="151"/>
      <c r="J148" s="151"/>
      <c r="K148" s="151"/>
      <c r="L148" s="57"/>
      <c r="M148" s="57"/>
      <c r="N148" s="57"/>
      <c r="O148" s="57"/>
      <c r="P148" s="51"/>
      <c r="X148" s="335"/>
      <c r="Y148" s="79"/>
      <c r="Z148" s="79"/>
      <c r="AA148" s="79"/>
      <c r="AB148" s="79"/>
      <c r="AC148" s="79"/>
      <c r="AD148" s="79"/>
      <c r="AE148" s="124"/>
      <c r="AF148" s="124"/>
      <c r="AG148" s="79"/>
      <c r="AH148" s="79"/>
      <c r="AI148" s="79"/>
      <c r="AJ148" s="79"/>
      <c r="AK148" s="79"/>
      <c r="AL148" s="79"/>
      <c r="AM148" s="79"/>
      <c r="AN148" s="79"/>
      <c r="AO148" s="79"/>
      <c r="AP148" s="70"/>
      <c r="AQ148" s="70"/>
      <c r="AR148" s="70"/>
      <c r="AS148" s="70"/>
      <c r="AT148" s="70"/>
      <c r="AU148" s="70"/>
      <c r="AV148" s="70"/>
      <c r="AW148" s="70"/>
      <c r="AX148" s="70"/>
      <c r="AY148" s="70"/>
      <c r="AZ148" s="70"/>
      <c r="BA148" s="70"/>
      <c r="BB148" s="70"/>
      <c r="BC148" s="70"/>
      <c r="BD148" s="243"/>
      <c r="BE148" s="147"/>
      <c r="BF148" s="64"/>
    </row>
    <row r="149" spans="2:58" ht="18" customHeight="1" x14ac:dyDescent="0.2">
      <c r="B149" s="151"/>
      <c r="C149" s="151"/>
      <c r="D149" s="151"/>
      <c r="E149" s="151"/>
      <c r="F149" s="151"/>
      <c r="G149" s="151"/>
      <c r="H149" s="151"/>
      <c r="I149" s="151"/>
      <c r="J149" s="151"/>
      <c r="K149" s="151"/>
      <c r="L149" s="57"/>
      <c r="M149" s="57"/>
      <c r="N149" s="57"/>
      <c r="O149" s="57"/>
      <c r="X149" s="278" t="s">
        <v>141</v>
      </c>
      <c r="Y149" s="301">
        <v>16</v>
      </c>
      <c r="Z149" s="302">
        <v>12.6</v>
      </c>
      <c r="AA149" s="302">
        <v>10.8</v>
      </c>
      <c r="AB149" s="302">
        <v>7.2</v>
      </c>
      <c r="AC149" s="302">
        <v>5.4</v>
      </c>
      <c r="AD149" s="303">
        <v>3.6</v>
      </c>
      <c r="AE149" s="124"/>
      <c r="AF149" s="124"/>
      <c r="AG149" s="79"/>
      <c r="AH149" s="79"/>
      <c r="AI149" s="278" t="s">
        <v>1</v>
      </c>
      <c r="AJ149" s="301">
        <v>16</v>
      </c>
      <c r="AK149" s="302">
        <v>12.6</v>
      </c>
      <c r="AL149" s="302">
        <v>10.8</v>
      </c>
      <c r="AM149" s="302">
        <v>7.2</v>
      </c>
      <c r="AN149" s="302">
        <v>5.4</v>
      </c>
      <c r="AO149" s="303">
        <v>3.6</v>
      </c>
      <c r="AP149" s="64"/>
      <c r="AQ149" s="70"/>
      <c r="AR149" s="70"/>
      <c r="AS149" s="70"/>
      <c r="AT149" s="70"/>
      <c r="AU149" s="70"/>
      <c r="AV149" s="70"/>
      <c r="AW149" s="70"/>
      <c r="AX149" s="70"/>
      <c r="AY149" s="70"/>
      <c r="AZ149" s="70"/>
      <c r="BA149" s="70"/>
      <c r="BB149" s="70"/>
      <c r="BC149" s="70"/>
      <c r="BD149" s="243"/>
      <c r="BE149" s="147"/>
      <c r="BF149" s="64"/>
    </row>
    <row r="150" spans="2:58" ht="18" customHeight="1" x14ac:dyDescent="0.2">
      <c r="B150" s="57"/>
      <c r="C150" s="57"/>
      <c r="D150" s="57"/>
      <c r="E150" s="57"/>
      <c r="F150" s="57"/>
      <c r="G150" s="57"/>
      <c r="H150" s="57"/>
      <c r="I150" s="57"/>
      <c r="J150" s="57"/>
      <c r="K150" s="57"/>
      <c r="L150" s="57"/>
      <c r="M150" s="57"/>
      <c r="N150" s="57"/>
      <c r="O150" s="57"/>
      <c r="X150" s="1171">
        <v>5</v>
      </c>
      <c r="Y150" s="692" t="s">
        <v>561</v>
      </c>
      <c r="Z150" s="693" t="s">
        <v>561</v>
      </c>
      <c r="AA150" s="693" t="s">
        <v>561</v>
      </c>
      <c r="AB150" s="305">
        <v>264</v>
      </c>
      <c r="AC150" s="305">
        <v>201</v>
      </c>
      <c r="AD150" s="306">
        <v>153</v>
      </c>
      <c r="AE150" s="124"/>
      <c r="AF150" s="124"/>
      <c r="AG150" s="79"/>
      <c r="AH150" s="79"/>
      <c r="AI150" s="1171">
        <v>5</v>
      </c>
      <c r="AJ150" s="692" t="s">
        <v>561</v>
      </c>
      <c r="AK150" s="693" t="s">
        <v>561</v>
      </c>
      <c r="AL150" s="693" t="s">
        <v>561</v>
      </c>
      <c r="AM150" s="305">
        <v>132</v>
      </c>
      <c r="AN150" s="305">
        <v>101</v>
      </c>
      <c r="AO150" s="306">
        <v>77</v>
      </c>
      <c r="AP150" s="64"/>
      <c r="AQ150" s="70"/>
      <c r="AR150" s="70"/>
      <c r="AS150" s="70"/>
      <c r="AT150" s="70"/>
      <c r="AU150" s="70"/>
      <c r="AV150" s="70"/>
      <c r="AW150" s="70"/>
      <c r="AX150" s="70"/>
      <c r="AY150" s="70"/>
      <c r="AZ150" s="70"/>
      <c r="BA150" s="70"/>
      <c r="BB150" s="70"/>
      <c r="BC150" s="70"/>
      <c r="BD150" s="243"/>
      <c r="BE150" s="147"/>
      <c r="BF150" s="64"/>
    </row>
    <row r="151" spans="2:58" ht="18" customHeight="1" x14ac:dyDescent="0.2">
      <c r="B151" s="57"/>
      <c r="C151" s="57"/>
      <c r="D151" s="57"/>
      <c r="E151" s="57"/>
      <c r="F151" s="57"/>
      <c r="G151" s="57"/>
      <c r="H151" s="57"/>
      <c r="I151" s="57"/>
      <c r="J151" s="57"/>
      <c r="K151" s="57"/>
      <c r="L151" s="57"/>
      <c r="M151" s="57"/>
      <c r="N151" s="57"/>
      <c r="O151" s="57"/>
      <c r="X151" s="1171">
        <v>10</v>
      </c>
      <c r="Y151" s="694" t="s">
        <v>561</v>
      </c>
      <c r="Z151" s="695" t="s">
        <v>561</v>
      </c>
      <c r="AA151" s="695" t="s">
        <v>561</v>
      </c>
      <c r="AB151" s="149">
        <v>297</v>
      </c>
      <c r="AC151" s="149">
        <v>219</v>
      </c>
      <c r="AD151" s="226">
        <v>165</v>
      </c>
      <c r="AE151" s="124"/>
      <c r="AF151" s="124"/>
      <c r="AG151" s="79"/>
      <c r="AH151" s="79"/>
      <c r="AI151" s="1171">
        <v>10</v>
      </c>
      <c r="AJ151" s="694" t="s">
        <v>561</v>
      </c>
      <c r="AK151" s="695" t="s">
        <v>561</v>
      </c>
      <c r="AL151" s="695" t="s">
        <v>561</v>
      </c>
      <c r="AM151" s="149">
        <v>149</v>
      </c>
      <c r="AN151" s="149">
        <v>110</v>
      </c>
      <c r="AO151" s="226">
        <v>83</v>
      </c>
      <c r="AP151" s="64"/>
      <c r="AQ151" s="70"/>
      <c r="AR151" s="70"/>
      <c r="AS151" s="70"/>
      <c r="AT151" s="70"/>
      <c r="AU151" s="70"/>
      <c r="AV151" s="70"/>
      <c r="AW151" s="70"/>
      <c r="AX151" s="70"/>
      <c r="AY151" s="70"/>
      <c r="AZ151" s="70"/>
      <c r="BA151" s="70"/>
      <c r="BB151" s="70"/>
      <c r="BC151" s="70"/>
      <c r="BD151" s="243"/>
      <c r="BE151" s="147"/>
      <c r="BF151" s="64"/>
    </row>
    <row r="152" spans="2:58" ht="18" customHeight="1" x14ac:dyDescent="0.2">
      <c r="B152" s="57"/>
      <c r="C152" s="57"/>
      <c r="D152" s="57"/>
      <c r="E152" s="57"/>
      <c r="F152" s="57"/>
      <c r="G152" s="57"/>
      <c r="H152" s="57"/>
      <c r="I152" s="57"/>
      <c r="J152" s="57"/>
      <c r="K152" s="57"/>
      <c r="L152" s="57"/>
      <c r="M152" s="57"/>
      <c r="N152" s="57"/>
      <c r="O152" s="57"/>
      <c r="X152" s="1171">
        <v>15</v>
      </c>
      <c r="Y152" s="694" t="s">
        <v>561</v>
      </c>
      <c r="Z152" s="695" t="s">
        <v>561</v>
      </c>
      <c r="AA152" s="695" t="s">
        <v>561</v>
      </c>
      <c r="AB152" s="695" t="s">
        <v>561</v>
      </c>
      <c r="AC152" s="695" t="s">
        <v>561</v>
      </c>
      <c r="AD152" s="696" t="s">
        <v>561</v>
      </c>
      <c r="AE152" s="124"/>
      <c r="AF152" s="124"/>
      <c r="AG152" s="79"/>
      <c r="AH152" s="79"/>
      <c r="AI152" s="1171">
        <v>15</v>
      </c>
      <c r="AJ152" s="694" t="s">
        <v>561</v>
      </c>
      <c r="AK152" s="695" t="s">
        <v>561</v>
      </c>
      <c r="AL152" s="695" t="s">
        <v>561</v>
      </c>
      <c r="AM152" s="695" t="s">
        <v>561</v>
      </c>
      <c r="AN152" s="695" t="s">
        <v>561</v>
      </c>
      <c r="AO152" s="696" t="s">
        <v>561</v>
      </c>
      <c r="AP152" s="64"/>
      <c r="AQ152" s="70"/>
      <c r="AR152" s="70"/>
      <c r="AS152" s="70"/>
      <c r="AT152" s="70"/>
      <c r="AU152" s="70"/>
      <c r="AV152" s="70"/>
      <c r="AW152" s="70"/>
      <c r="AX152" s="70"/>
      <c r="AY152" s="70"/>
      <c r="AZ152" s="70"/>
      <c r="BA152" s="70"/>
      <c r="BB152" s="70"/>
      <c r="BC152" s="70"/>
      <c r="BD152" s="243"/>
      <c r="BE152" s="147"/>
      <c r="BF152" s="64"/>
    </row>
    <row r="153" spans="2:58" ht="18" customHeight="1" x14ac:dyDescent="0.2">
      <c r="B153" s="57"/>
      <c r="C153" s="57"/>
      <c r="D153" s="57"/>
      <c r="E153" s="57"/>
      <c r="F153" s="57"/>
      <c r="G153" s="57"/>
      <c r="H153" s="57"/>
      <c r="I153" s="57"/>
      <c r="J153" s="57"/>
      <c r="K153" s="57"/>
      <c r="L153" s="57"/>
      <c r="M153" s="57"/>
      <c r="N153" s="57"/>
      <c r="O153" s="57"/>
      <c r="X153" s="280">
        <v>20</v>
      </c>
      <c r="Y153" s="697" t="s">
        <v>561</v>
      </c>
      <c r="Z153" s="698" t="s">
        <v>561</v>
      </c>
      <c r="AA153" s="698" t="s">
        <v>561</v>
      </c>
      <c r="AB153" s="698" t="s">
        <v>561</v>
      </c>
      <c r="AC153" s="698" t="s">
        <v>561</v>
      </c>
      <c r="AD153" s="699" t="s">
        <v>561</v>
      </c>
      <c r="AE153" s="124"/>
      <c r="AF153" s="124"/>
      <c r="AG153" s="79"/>
      <c r="AH153" s="79"/>
      <c r="AI153" s="280">
        <v>20</v>
      </c>
      <c r="AJ153" s="697" t="s">
        <v>561</v>
      </c>
      <c r="AK153" s="698" t="s">
        <v>561</v>
      </c>
      <c r="AL153" s="698" t="s">
        <v>561</v>
      </c>
      <c r="AM153" s="698" t="s">
        <v>561</v>
      </c>
      <c r="AN153" s="698" t="s">
        <v>561</v>
      </c>
      <c r="AO153" s="699" t="s">
        <v>561</v>
      </c>
      <c r="AP153" s="64"/>
      <c r="AQ153" s="70"/>
      <c r="AR153" s="70"/>
      <c r="AS153" s="70"/>
      <c r="AT153" s="70"/>
      <c r="AU153" s="70"/>
      <c r="AV153" s="70"/>
      <c r="AW153" s="70"/>
      <c r="AX153" s="70"/>
      <c r="AY153" s="70"/>
      <c r="AZ153" s="70"/>
      <c r="BA153" s="70"/>
      <c r="BB153" s="70"/>
      <c r="BC153" s="70"/>
      <c r="BD153" s="243"/>
      <c r="BE153" s="147"/>
      <c r="BF153" s="64"/>
    </row>
    <row r="154" spans="2:58" ht="18" customHeight="1" thickBot="1" x14ac:dyDescent="0.25">
      <c r="B154" s="57"/>
      <c r="C154" s="57"/>
      <c r="D154" s="57"/>
      <c r="E154" s="57"/>
      <c r="F154" s="57"/>
      <c r="G154" s="57"/>
      <c r="H154" s="57"/>
      <c r="I154" s="57"/>
      <c r="J154" s="57"/>
      <c r="K154" s="57"/>
      <c r="L154" s="57"/>
      <c r="M154" s="57"/>
      <c r="N154" s="57"/>
      <c r="O154" s="57"/>
      <c r="X154" s="335"/>
      <c r="Y154" s="79"/>
      <c r="Z154" s="79"/>
      <c r="AA154" s="79"/>
      <c r="AB154" s="79"/>
      <c r="AC154" s="79"/>
      <c r="AD154" s="79"/>
      <c r="AE154" s="124"/>
      <c r="AF154" s="124"/>
      <c r="AG154" s="79"/>
      <c r="AH154" s="79"/>
      <c r="AI154" s="79"/>
      <c r="AJ154" s="79"/>
      <c r="AK154" s="79"/>
      <c r="AL154" s="79"/>
      <c r="AM154" s="79"/>
      <c r="AN154" s="79"/>
      <c r="AO154" s="79"/>
      <c r="AP154" s="70"/>
      <c r="AQ154" s="70"/>
      <c r="AR154" s="70"/>
      <c r="AS154" s="70"/>
      <c r="AT154" s="70"/>
      <c r="AU154" s="70"/>
      <c r="AV154" s="70"/>
      <c r="AW154" s="70"/>
      <c r="AX154" s="70"/>
      <c r="AY154" s="70"/>
      <c r="AZ154" s="70"/>
      <c r="BA154" s="70"/>
      <c r="BB154" s="70"/>
      <c r="BC154" s="70"/>
      <c r="BD154" s="243"/>
      <c r="BE154" s="147"/>
      <c r="BF154" s="64"/>
    </row>
    <row r="155" spans="2:58" ht="18" customHeight="1" thickBot="1" x14ac:dyDescent="0.25">
      <c r="B155" s="57"/>
      <c r="C155" s="57"/>
      <c r="D155" s="57"/>
      <c r="E155" s="57"/>
      <c r="F155" s="57"/>
      <c r="G155" s="57"/>
      <c r="H155" s="57"/>
      <c r="I155" s="57"/>
      <c r="J155" s="57"/>
      <c r="K155" s="57"/>
      <c r="L155" s="57"/>
      <c r="M155" s="57"/>
      <c r="N155" s="57"/>
      <c r="O155" s="57"/>
      <c r="X155" s="254" t="s">
        <v>434</v>
      </c>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6"/>
      <c r="BE155" s="147"/>
      <c r="BF155" s="64"/>
    </row>
    <row r="156" spans="2:58" ht="18" customHeight="1" x14ac:dyDescent="0.2">
      <c r="X156" s="335"/>
      <c r="Y156" s="79"/>
      <c r="Z156" s="79"/>
      <c r="AA156" s="79"/>
      <c r="AB156" s="79"/>
      <c r="AC156" s="79"/>
      <c r="AD156" s="79"/>
      <c r="AE156" s="124"/>
      <c r="AF156" s="124"/>
      <c r="AG156" s="79"/>
      <c r="AH156" s="79"/>
      <c r="AI156" s="79"/>
      <c r="AJ156" s="79"/>
      <c r="AK156" s="79"/>
      <c r="AL156" s="79"/>
      <c r="AM156" s="79"/>
      <c r="AN156" s="79"/>
      <c r="AO156" s="79"/>
      <c r="AP156" s="70"/>
      <c r="AQ156" s="70"/>
      <c r="AR156" s="70"/>
      <c r="AS156" s="70"/>
      <c r="AT156" s="70"/>
      <c r="AU156" s="70"/>
      <c r="AV156" s="70"/>
      <c r="AW156" s="70"/>
      <c r="AX156" s="70"/>
      <c r="AY156" s="70"/>
      <c r="AZ156" s="70"/>
      <c r="BA156" s="70"/>
      <c r="BB156" s="70"/>
      <c r="BC156" s="70"/>
      <c r="BD156" s="243"/>
      <c r="BE156" s="147"/>
      <c r="BF156" s="64"/>
    </row>
    <row r="157" spans="2:58" ht="18" customHeight="1" x14ac:dyDescent="0.2">
      <c r="X157" s="278" t="s">
        <v>141</v>
      </c>
      <c r="Y157" s="301">
        <v>16</v>
      </c>
      <c r="Z157" s="302">
        <v>12.6</v>
      </c>
      <c r="AA157" s="302">
        <v>10.8</v>
      </c>
      <c r="AB157" s="302">
        <v>7.2</v>
      </c>
      <c r="AC157" s="302">
        <v>5.4</v>
      </c>
      <c r="AD157" s="303">
        <v>3.6</v>
      </c>
      <c r="AE157" s="124"/>
      <c r="AF157" s="124"/>
      <c r="AG157" s="79"/>
      <c r="AH157" s="819" t="s">
        <v>847</v>
      </c>
      <c r="AI157" s="1211" t="s">
        <v>848</v>
      </c>
      <c r="AK157" s="1215" t="s">
        <v>849</v>
      </c>
      <c r="AL157" s="1212" t="s">
        <v>849</v>
      </c>
      <c r="AM157" s="1216" t="s">
        <v>851</v>
      </c>
      <c r="AN157" s="1213" t="s">
        <v>852</v>
      </c>
      <c r="AP157" s="1215" t="s">
        <v>849</v>
      </c>
      <c r="AQ157" s="1212" t="s">
        <v>849</v>
      </c>
      <c r="AR157" s="1216" t="s">
        <v>851</v>
      </c>
      <c r="AS157" s="1213" t="s">
        <v>852</v>
      </c>
      <c r="AT157" s="70"/>
      <c r="AU157" s="70"/>
      <c r="AY157" s="70"/>
      <c r="AZ157" s="70"/>
      <c r="BA157" s="70"/>
      <c r="BB157" s="70"/>
      <c r="BC157" s="70"/>
      <c r="BD157" s="243"/>
      <c r="BE157" s="147"/>
      <c r="BF157" s="64"/>
    </row>
    <row r="158" spans="2:58" ht="18" customHeight="1" x14ac:dyDescent="0.2">
      <c r="X158" s="1171">
        <v>5</v>
      </c>
      <c r="Y158" s="692" t="s">
        <v>561</v>
      </c>
      <c r="Z158" s="693" t="s">
        <v>561</v>
      </c>
      <c r="AA158" s="693">
        <v>440</v>
      </c>
      <c r="AB158" s="305">
        <v>320</v>
      </c>
      <c r="AC158" s="305">
        <v>280</v>
      </c>
      <c r="AD158" s="306">
        <v>160</v>
      </c>
      <c r="AE158" s="124"/>
      <c r="AF158" s="124"/>
      <c r="AG158" s="79"/>
      <c r="AH158" s="793">
        <v>160</v>
      </c>
      <c r="AI158" s="243">
        <v>42</v>
      </c>
      <c r="AK158" s="242">
        <v>2</v>
      </c>
      <c r="AL158" s="1193">
        <f>AK158-AI158/100</f>
        <v>1.58</v>
      </c>
      <c r="AM158" s="1210">
        <v>1.75</v>
      </c>
      <c r="AN158" s="1217">
        <f>AL158*1.2+AM158*1.5</f>
        <v>4.5209999999999999</v>
      </c>
      <c r="AP158" s="242">
        <v>1.5</v>
      </c>
      <c r="AQ158" s="1216">
        <f>AP158-AI158/100</f>
        <v>1.08</v>
      </c>
      <c r="AR158" s="241">
        <v>2.5</v>
      </c>
      <c r="AS158" s="1217">
        <f>AQ158*1.2+AR158*1.5</f>
        <v>5.0460000000000003</v>
      </c>
      <c r="AT158" s="70"/>
      <c r="AU158" s="70"/>
      <c r="AY158" s="70"/>
      <c r="AZ158" s="70"/>
      <c r="BA158" s="70"/>
      <c r="BB158" s="70"/>
      <c r="BC158" s="70"/>
      <c r="BD158" s="243"/>
      <c r="BE158" s="147"/>
      <c r="BF158" s="64"/>
    </row>
    <row r="159" spans="2:58" ht="18" customHeight="1" x14ac:dyDescent="0.2">
      <c r="X159" s="1171">
        <v>10</v>
      </c>
      <c r="Y159" s="694" t="s">
        <v>561</v>
      </c>
      <c r="Z159" s="695" t="s">
        <v>561</v>
      </c>
      <c r="AA159" s="695" t="s">
        <v>561</v>
      </c>
      <c r="AB159" s="695" t="s">
        <v>561</v>
      </c>
      <c r="AC159" s="695">
        <v>320</v>
      </c>
      <c r="AD159" s="696">
        <v>200</v>
      </c>
      <c r="AE159" s="124"/>
      <c r="AF159" s="124"/>
      <c r="AG159" s="79"/>
      <c r="AH159" s="793">
        <v>200</v>
      </c>
      <c r="AI159" s="243">
        <v>47</v>
      </c>
      <c r="AK159" s="242">
        <v>2</v>
      </c>
      <c r="AL159" s="138">
        <f>AK159-AI159/100</f>
        <v>1.53</v>
      </c>
      <c r="AM159" s="793">
        <v>1.75</v>
      </c>
      <c r="AN159" s="298">
        <f t="shared" ref="AN159:AN169" si="40">AL159*1.2+AM159*1.5</f>
        <v>4.4610000000000003</v>
      </c>
      <c r="AP159" s="242">
        <v>1.5</v>
      </c>
      <c r="AQ159" s="817">
        <f t="shared" ref="AQ159:AQ160" si="41">AP159-AI159/100</f>
        <v>1.03</v>
      </c>
      <c r="AR159" s="243">
        <v>2.5</v>
      </c>
      <c r="AS159" s="298">
        <f t="shared" ref="AS159:AS169" si="42">AQ159*1.2+AR159*1.5</f>
        <v>4.9859999999999998</v>
      </c>
      <c r="AT159" s="70"/>
      <c r="AU159" s="70"/>
      <c r="AY159" s="70"/>
      <c r="AZ159" s="70"/>
      <c r="BA159" s="70"/>
      <c r="BB159" s="70"/>
      <c r="BC159" s="70"/>
      <c r="BD159" s="243"/>
      <c r="BE159" s="147"/>
      <c r="BF159" s="64"/>
    </row>
    <row r="160" spans="2:58" ht="18" customHeight="1" x14ac:dyDescent="0.2">
      <c r="X160" s="1171">
        <v>15</v>
      </c>
      <c r="Y160" s="694" t="s">
        <v>561</v>
      </c>
      <c r="Z160" s="695" t="s">
        <v>561</v>
      </c>
      <c r="AA160" s="695" t="s">
        <v>561</v>
      </c>
      <c r="AB160" s="695" t="s">
        <v>561</v>
      </c>
      <c r="AC160" s="695" t="s">
        <v>561</v>
      </c>
      <c r="AD160" s="696" t="s">
        <v>561</v>
      </c>
      <c r="AE160" s="124"/>
      <c r="AF160" s="124"/>
      <c r="AG160" s="79"/>
      <c r="AH160" s="793">
        <v>280</v>
      </c>
      <c r="AI160" s="243">
        <v>63</v>
      </c>
      <c r="AK160" s="242">
        <v>2</v>
      </c>
      <c r="AL160" s="138">
        <f>AK160-AI160/100</f>
        <v>1.37</v>
      </c>
      <c r="AM160" s="793">
        <v>1.75</v>
      </c>
      <c r="AN160" s="298">
        <f t="shared" si="40"/>
        <v>4.2690000000000001</v>
      </c>
      <c r="AP160" s="242">
        <v>1.5</v>
      </c>
      <c r="AQ160" s="817">
        <f t="shared" si="41"/>
        <v>0.87</v>
      </c>
      <c r="AR160" s="243">
        <v>2.5</v>
      </c>
      <c r="AS160" s="298">
        <f t="shared" si="42"/>
        <v>4.7940000000000005</v>
      </c>
      <c r="AT160" s="70"/>
      <c r="AU160" s="70"/>
      <c r="AY160" s="70"/>
      <c r="AZ160" s="70"/>
      <c r="BA160" s="70"/>
      <c r="BB160" s="70"/>
      <c r="BC160" s="70"/>
      <c r="BD160" s="243"/>
      <c r="BE160" s="147"/>
      <c r="BF160" s="64"/>
    </row>
    <row r="161" spans="24:58" ht="18" customHeight="1" x14ac:dyDescent="0.2">
      <c r="X161" s="280">
        <v>20</v>
      </c>
      <c r="Y161" s="697" t="s">
        <v>561</v>
      </c>
      <c r="Z161" s="698" t="s">
        <v>561</v>
      </c>
      <c r="AA161" s="698" t="s">
        <v>561</v>
      </c>
      <c r="AB161" s="698" t="s">
        <v>561</v>
      </c>
      <c r="AC161" s="698" t="s">
        <v>561</v>
      </c>
      <c r="AD161" s="699" t="s">
        <v>561</v>
      </c>
      <c r="AE161" s="124"/>
      <c r="AF161" s="124"/>
      <c r="AG161" s="79"/>
      <c r="AH161" s="793">
        <v>320</v>
      </c>
      <c r="AI161" s="243">
        <v>68</v>
      </c>
      <c r="AK161" s="138">
        <v>2</v>
      </c>
      <c r="AL161" s="138">
        <f>AK161-AI161/100</f>
        <v>1.3199999999999998</v>
      </c>
      <c r="AM161" s="793">
        <v>1.75</v>
      </c>
      <c r="AN161" s="298">
        <f t="shared" si="40"/>
        <v>4.2089999999999996</v>
      </c>
      <c r="AP161" s="138">
        <v>1.5</v>
      </c>
      <c r="AQ161" s="817" t="e">
        <f>AP161-AI162/100</f>
        <v>#VALUE!</v>
      </c>
      <c r="AR161" s="243">
        <v>2.5</v>
      </c>
      <c r="AS161" s="298" t="e">
        <f t="shared" si="42"/>
        <v>#VALUE!</v>
      </c>
      <c r="AT161" s="70"/>
      <c r="AU161" s="70"/>
      <c r="AY161" s="70"/>
      <c r="AZ161" s="70"/>
      <c r="BA161" s="70"/>
      <c r="BB161" s="70"/>
      <c r="BC161" s="70"/>
      <c r="BD161" s="243"/>
      <c r="BE161" s="147"/>
      <c r="BF161" s="64"/>
    </row>
    <row r="162" spans="24:58" ht="18" customHeight="1" x14ac:dyDescent="0.2">
      <c r="X162" s="335"/>
      <c r="Y162" s="79"/>
      <c r="Z162" s="79"/>
      <c r="AA162" s="79"/>
      <c r="AB162" s="79"/>
      <c r="AC162" s="79"/>
      <c r="AD162" s="79"/>
      <c r="AE162" s="124"/>
      <c r="AF162" s="124"/>
      <c r="AG162" s="79"/>
      <c r="AH162" s="794" t="s">
        <v>561</v>
      </c>
      <c r="AI162" s="246" t="s">
        <v>561</v>
      </c>
      <c r="AJ162" s="79"/>
      <c r="AK162" s="242">
        <v>2.5</v>
      </c>
      <c r="AL162" s="138">
        <f>AK162-AI158/100</f>
        <v>2.08</v>
      </c>
      <c r="AM162" s="793">
        <v>5</v>
      </c>
      <c r="AN162" s="298">
        <f t="shared" si="40"/>
        <v>9.9960000000000004</v>
      </c>
      <c r="AO162" s="79"/>
      <c r="AP162" s="242">
        <v>3</v>
      </c>
      <c r="AQ162" s="817">
        <f>AP162-AI158/100</f>
        <v>2.58</v>
      </c>
      <c r="AR162" s="243">
        <v>4</v>
      </c>
      <c r="AS162" s="298">
        <f t="shared" si="42"/>
        <v>9.0960000000000001</v>
      </c>
      <c r="AT162" s="70"/>
      <c r="AU162" s="70"/>
      <c r="AV162" s="70"/>
      <c r="AW162" s="70"/>
      <c r="AX162" s="70"/>
      <c r="AY162" s="70"/>
      <c r="AZ162" s="70"/>
      <c r="BA162" s="70"/>
      <c r="BB162" s="70"/>
      <c r="BC162" s="70"/>
      <c r="BD162" s="243"/>
      <c r="BE162" s="147"/>
      <c r="BF162" s="64"/>
    </row>
    <row r="163" spans="24:58" ht="18" customHeight="1" x14ac:dyDescent="0.2">
      <c r="X163" s="278" t="s">
        <v>1</v>
      </c>
      <c r="Y163" s="301">
        <v>16</v>
      </c>
      <c r="Z163" s="302">
        <v>12.6</v>
      </c>
      <c r="AA163" s="302">
        <v>10.8</v>
      </c>
      <c r="AB163" s="302">
        <v>7.2</v>
      </c>
      <c r="AC163" s="302">
        <v>5.4</v>
      </c>
      <c r="AD163" s="303">
        <v>3.6</v>
      </c>
      <c r="AK163" s="242">
        <v>2.5</v>
      </c>
      <c r="AL163" s="138">
        <f t="shared" ref="AL163:AL164" si="43">AK163-AI159/100</f>
        <v>2.0300000000000002</v>
      </c>
      <c r="AM163" s="793">
        <v>5</v>
      </c>
      <c r="AN163" s="298">
        <f t="shared" si="40"/>
        <v>9.9359999999999999</v>
      </c>
      <c r="AP163" s="242">
        <v>3</v>
      </c>
      <c r="AQ163" s="817">
        <f t="shared" ref="AQ163:AQ164" si="44">AP163-AI159/100</f>
        <v>2.5300000000000002</v>
      </c>
      <c r="AR163" s="243">
        <v>4</v>
      </c>
      <c r="AS163" s="298">
        <f t="shared" si="42"/>
        <v>9.0359999999999996</v>
      </c>
      <c r="BE163" s="147"/>
      <c r="BF163" s="64"/>
    </row>
    <row r="164" spans="24:58" ht="18" customHeight="1" x14ac:dyDescent="0.2">
      <c r="X164" s="1171">
        <v>5</v>
      </c>
      <c r="Y164" s="692" t="str">
        <f t="shared" ref="Y164:AD167" si="45">VLOOKUP(Y158,$AH$158:$AI$162,2,0)</f>
        <v>kan niet</v>
      </c>
      <c r="Z164" s="693" t="str">
        <f t="shared" si="45"/>
        <v>kan niet</v>
      </c>
      <c r="AA164" s="693" t="e">
        <f t="shared" si="45"/>
        <v>#N/A</v>
      </c>
      <c r="AB164" s="305">
        <f t="shared" si="45"/>
        <v>68</v>
      </c>
      <c r="AC164" s="305">
        <f t="shared" si="45"/>
        <v>63</v>
      </c>
      <c r="AD164" s="306">
        <f t="shared" si="45"/>
        <v>42</v>
      </c>
      <c r="AH164" s="174" t="s">
        <v>850</v>
      </c>
      <c r="AK164" s="138">
        <v>2.5</v>
      </c>
      <c r="AL164" s="138">
        <f t="shared" si="43"/>
        <v>1.87</v>
      </c>
      <c r="AM164" s="817">
        <v>5</v>
      </c>
      <c r="AN164" s="298">
        <f t="shared" si="40"/>
        <v>9.7439999999999998</v>
      </c>
      <c r="AP164" s="138">
        <v>3</v>
      </c>
      <c r="AQ164" s="817">
        <f t="shared" si="44"/>
        <v>2.37</v>
      </c>
      <c r="AR164" s="78">
        <v>4</v>
      </c>
      <c r="AS164" s="298">
        <f t="shared" si="42"/>
        <v>8.8439999999999994</v>
      </c>
      <c r="BE164" s="147"/>
      <c r="BF164" s="64"/>
    </row>
    <row r="165" spans="24:58" ht="18" customHeight="1" x14ac:dyDescent="0.2">
      <c r="X165" s="1171">
        <v>10</v>
      </c>
      <c r="Y165" s="694" t="str">
        <f t="shared" si="45"/>
        <v>kan niet</v>
      </c>
      <c r="Z165" s="695" t="str">
        <f t="shared" si="45"/>
        <v>kan niet</v>
      </c>
      <c r="AA165" s="695" t="str">
        <f t="shared" si="45"/>
        <v>kan niet</v>
      </c>
      <c r="AB165" s="695" t="str">
        <f t="shared" si="45"/>
        <v>kan niet</v>
      </c>
      <c r="AC165" s="695">
        <f t="shared" si="45"/>
        <v>68</v>
      </c>
      <c r="AD165" s="696">
        <f t="shared" si="45"/>
        <v>47</v>
      </c>
      <c r="AK165" s="138">
        <v>2.5</v>
      </c>
      <c r="AL165" s="138">
        <f>AK165-AI161/100</f>
        <v>1.8199999999999998</v>
      </c>
      <c r="AM165" s="817">
        <v>5</v>
      </c>
      <c r="AN165" s="298">
        <f t="shared" si="40"/>
        <v>9.6839999999999993</v>
      </c>
      <c r="AP165" s="138">
        <v>3</v>
      </c>
      <c r="AQ165" s="817" t="e">
        <f>AP165-AI162/100</f>
        <v>#VALUE!</v>
      </c>
      <c r="AR165" s="78">
        <v>4</v>
      </c>
      <c r="AS165" s="298" t="e">
        <f t="shared" si="42"/>
        <v>#VALUE!</v>
      </c>
      <c r="BE165" s="147"/>
      <c r="BF165" s="64"/>
    </row>
    <row r="166" spans="24:58" ht="18" customHeight="1" x14ac:dyDescent="0.2">
      <c r="X166" s="1171">
        <v>15</v>
      </c>
      <c r="Y166" s="694" t="str">
        <f t="shared" si="45"/>
        <v>kan niet</v>
      </c>
      <c r="Z166" s="695" t="str">
        <f t="shared" si="45"/>
        <v>kan niet</v>
      </c>
      <c r="AA166" s="695" t="str">
        <f t="shared" si="45"/>
        <v>kan niet</v>
      </c>
      <c r="AB166" s="695" t="str">
        <f t="shared" si="45"/>
        <v>kan niet</v>
      </c>
      <c r="AC166" s="695" t="str">
        <f t="shared" si="45"/>
        <v>kan niet</v>
      </c>
      <c r="AD166" s="696" t="str">
        <f t="shared" si="45"/>
        <v>kan niet</v>
      </c>
      <c r="AK166" s="138">
        <v>4</v>
      </c>
      <c r="AL166" s="138">
        <f>AK166-AI158/100</f>
        <v>3.58</v>
      </c>
      <c r="AM166" s="817">
        <v>6.5</v>
      </c>
      <c r="AN166" s="298">
        <f t="shared" si="40"/>
        <v>14.045999999999999</v>
      </c>
      <c r="AP166" s="138">
        <v>4</v>
      </c>
      <c r="AQ166" s="817">
        <f>AP166-AI158/100</f>
        <v>3.58</v>
      </c>
      <c r="AR166" s="78">
        <v>6.5</v>
      </c>
      <c r="AS166" s="298">
        <f t="shared" si="42"/>
        <v>14.045999999999999</v>
      </c>
      <c r="BE166" s="147"/>
      <c r="BF166" s="64"/>
    </row>
    <row r="167" spans="24:58" ht="18" customHeight="1" x14ac:dyDescent="0.2">
      <c r="X167" s="280">
        <v>20</v>
      </c>
      <c r="Y167" s="697" t="str">
        <f t="shared" si="45"/>
        <v>kan niet</v>
      </c>
      <c r="Z167" s="698" t="str">
        <f t="shared" si="45"/>
        <v>kan niet</v>
      </c>
      <c r="AA167" s="698" t="str">
        <f t="shared" si="45"/>
        <v>kan niet</v>
      </c>
      <c r="AB167" s="698" t="str">
        <f t="shared" si="45"/>
        <v>kan niet</v>
      </c>
      <c r="AC167" s="698" t="str">
        <f t="shared" si="45"/>
        <v>kan niet</v>
      </c>
      <c r="AD167" s="699" t="str">
        <f t="shared" si="45"/>
        <v>kan niet</v>
      </c>
      <c r="AK167" s="138">
        <v>4</v>
      </c>
      <c r="AL167" s="138">
        <f t="shared" ref="AL167:AL168" si="46">AK167-AI159/100</f>
        <v>3.5300000000000002</v>
      </c>
      <c r="AM167" s="817">
        <v>6.5</v>
      </c>
      <c r="AN167" s="298">
        <f t="shared" si="40"/>
        <v>13.986000000000001</v>
      </c>
      <c r="AP167" s="138">
        <v>4</v>
      </c>
      <c r="AQ167" s="817">
        <f t="shared" ref="AQ167:AQ168" si="47">AP167-AI159/100</f>
        <v>3.5300000000000002</v>
      </c>
      <c r="AR167" s="78">
        <v>6.5</v>
      </c>
      <c r="AS167" s="298">
        <f t="shared" si="42"/>
        <v>13.986000000000001</v>
      </c>
      <c r="BE167" s="146"/>
      <c r="BF167" s="64"/>
    </row>
    <row r="168" spans="24:58" ht="18" customHeight="1" x14ac:dyDescent="0.2">
      <c r="X168" s="1193"/>
      <c r="AK168" s="138">
        <v>4</v>
      </c>
      <c r="AL168" s="138">
        <f t="shared" si="46"/>
        <v>3.37</v>
      </c>
      <c r="AM168" s="817">
        <v>6.5</v>
      </c>
      <c r="AN168" s="298">
        <f t="shared" si="40"/>
        <v>13.794</v>
      </c>
      <c r="AP168" s="138">
        <v>4</v>
      </c>
      <c r="AQ168" s="817">
        <f t="shared" si="47"/>
        <v>3.37</v>
      </c>
      <c r="AR168" s="78">
        <v>6.5</v>
      </c>
      <c r="AS168" s="298">
        <f t="shared" si="42"/>
        <v>13.794</v>
      </c>
      <c r="BE168" s="145"/>
      <c r="BF168" s="64"/>
    </row>
    <row r="169" spans="24:58" ht="18" customHeight="1" x14ac:dyDescent="0.2">
      <c r="X169" s="138"/>
      <c r="AK169" s="1214">
        <v>4</v>
      </c>
      <c r="AL169" s="1214">
        <f>AK169-AI161/100</f>
        <v>3.32</v>
      </c>
      <c r="AM169" s="802">
        <v>6.5</v>
      </c>
      <c r="AN169" s="300">
        <f t="shared" si="40"/>
        <v>13.734</v>
      </c>
      <c r="AP169" s="1214">
        <v>4</v>
      </c>
      <c r="AQ169" s="802" t="e">
        <f>AP169-AI162/100</f>
        <v>#VALUE!</v>
      </c>
      <c r="AR169" s="69">
        <v>6.5</v>
      </c>
      <c r="AS169" s="300" t="e">
        <f t="shared" si="42"/>
        <v>#VALUE!</v>
      </c>
      <c r="BE169" s="152"/>
      <c r="BF169" s="64"/>
    </row>
    <row r="170" spans="24:58" ht="18" customHeight="1" thickBot="1" x14ac:dyDescent="0.25">
      <c r="X170" s="1218"/>
      <c r="BE170" s="152"/>
      <c r="BF170" s="64"/>
    </row>
    <row r="171" spans="24:58" ht="18" customHeight="1" thickBot="1" x14ac:dyDescent="0.25">
      <c r="X171" s="254" t="s">
        <v>44</v>
      </c>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6"/>
      <c r="BE171" s="152"/>
      <c r="BF171" s="64"/>
    </row>
    <row r="172" spans="24:58" ht="18" customHeight="1" x14ac:dyDescent="0.2">
      <c r="X172" s="335"/>
      <c r="Y172" s="79"/>
      <c r="Z172" s="79"/>
      <c r="AA172" s="79"/>
      <c r="AB172" s="79"/>
      <c r="AC172" s="79"/>
      <c r="AD172" s="79"/>
      <c r="AE172" s="124"/>
      <c r="AF172" s="124"/>
      <c r="AG172" s="79"/>
      <c r="AH172" s="79"/>
      <c r="AI172" s="79"/>
      <c r="AJ172" s="79"/>
      <c r="AK172" s="79"/>
      <c r="AL172" s="79"/>
      <c r="AM172" s="79"/>
      <c r="AN172" s="79"/>
      <c r="AO172" s="79"/>
      <c r="AP172" s="70"/>
      <c r="AQ172" s="70"/>
      <c r="AR172" s="70"/>
      <c r="AS172" s="70"/>
      <c r="AT172" s="70"/>
      <c r="AU172" s="70"/>
      <c r="AV172" s="70"/>
      <c r="AW172" s="70"/>
      <c r="AX172" s="70"/>
      <c r="AY172" s="70"/>
      <c r="AZ172" s="70"/>
      <c r="BA172" s="70"/>
      <c r="BB172" s="70"/>
      <c r="BC172" s="70"/>
      <c r="BD172" s="243"/>
      <c r="BE172" s="146"/>
      <c r="BF172" s="64"/>
    </row>
    <row r="173" spans="24:58" ht="18" customHeight="1" x14ac:dyDescent="0.2">
      <c r="X173" s="278" t="s">
        <v>141</v>
      </c>
      <c r="Y173" s="302">
        <v>16</v>
      </c>
      <c r="Z173" s="302">
        <v>12.6</v>
      </c>
      <c r="AA173" s="302">
        <v>10.8</v>
      </c>
      <c r="AB173" s="302">
        <v>9</v>
      </c>
      <c r="AC173" s="302">
        <v>7.2</v>
      </c>
      <c r="AD173" s="302">
        <v>5.4</v>
      </c>
      <c r="AE173" s="303">
        <v>3.6</v>
      </c>
      <c r="AF173" s="124"/>
      <c r="AG173" s="79"/>
      <c r="AH173" s="79"/>
      <c r="AI173" s="278" t="s">
        <v>186</v>
      </c>
      <c r="AJ173" s="302">
        <v>16</v>
      </c>
      <c r="AK173" s="302">
        <v>12.6</v>
      </c>
      <c r="AL173" s="302">
        <v>10.8</v>
      </c>
      <c r="AM173" s="302">
        <v>9</v>
      </c>
      <c r="AN173" s="302">
        <v>7.2</v>
      </c>
      <c r="AO173" s="302">
        <v>5.4</v>
      </c>
      <c r="AP173" s="303">
        <v>3.6</v>
      </c>
      <c r="AQ173" s="70"/>
      <c r="AR173" s="70"/>
      <c r="AS173" s="70"/>
      <c r="AT173" s="70"/>
      <c r="AU173" s="70"/>
      <c r="AV173" s="70"/>
      <c r="AW173" s="70"/>
      <c r="AX173" s="70"/>
      <c r="AY173" s="70"/>
      <c r="AZ173" s="70"/>
      <c r="BA173" s="70"/>
      <c r="BB173" s="70"/>
      <c r="BC173" s="70"/>
      <c r="BD173" s="243"/>
      <c r="BE173" s="147"/>
      <c r="BF173" s="64"/>
    </row>
    <row r="174" spans="24:58" ht="18" customHeight="1" x14ac:dyDescent="0.2">
      <c r="X174" s="1171">
        <v>5</v>
      </c>
      <c r="Y174" s="903" t="s">
        <v>561</v>
      </c>
      <c r="Z174" s="903" t="s">
        <v>561</v>
      </c>
      <c r="AA174" s="163">
        <v>320</v>
      </c>
      <c r="AB174" s="163">
        <v>260</v>
      </c>
      <c r="AC174" s="163">
        <v>200</v>
      </c>
      <c r="AD174" s="163">
        <v>200</v>
      </c>
      <c r="AE174" s="904">
        <v>200</v>
      </c>
      <c r="AF174" s="124"/>
      <c r="AG174" s="79"/>
      <c r="AH174" s="79"/>
      <c r="AI174" s="1171">
        <v>5</v>
      </c>
      <c r="AJ174" s="903" t="s">
        <v>561</v>
      </c>
      <c r="AK174" s="903" t="s">
        <v>561</v>
      </c>
      <c r="AL174" s="163">
        <f t="shared" ref="AL174:AP176" si="48">((AL180/1000000)/$AS$181)*$AS$180</f>
        <v>4.8100000000000005</v>
      </c>
      <c r="AM174" s="163">
        <f t="shared" si="48"/>
        <v>3.5100000000000002</v>
      </c>
      <c r="AN174" s="163">
        <f t="shared" si="48"/>
        <v>2.21</v>
      </c>
      <c r="AO174" s="163">
        <f t="shared" si="48"/>
        <v>1.95</v>
      </c>
      <c r="AP174" s="904">
        <f t="shared" si="48"/>
        <v>1.95</v>
      </c>
      <c r="AQ174" s="70"/>
      <c r="AR174" s="70" t="s">
        <v>483</v>
      </c>
      <c r="AS174" s="70"/>
      <c r="AT174" s="70"/>
      <c r="AU174" s="70"/>
      <c r="AV174" s="70"/>
      <c r="AW174" s="70"/>
      <c r="AX174" s="70"/>
      <c r="AY174" s="70"/>
      <c r="AZ174" s="70"/>
      <c r="BA174" s="70"/>
      <c r="BB174" s="70"/>
      <c r="BC174" s="70"/>
      <c r="BD174" s="243"/>
      <c r="BE174" s="146"/>
      <c r="BF174" s="64"/>
    </row>
    <row r="175" spans="24:58" ht="18" customHeight="1" x14ac:dyDescent="0.2">
      <c r="X175" s="1171">
        <v>10</v>
      </c>
      <c r="Y175" s="903" t="s">
        <v>561</v>
      </c>
      <c r="Z175" s="903" t="s">
        <v>561</v>
      </c>
      <c r="AA175" s="163">
        <v>320</v>
      </c>
      <c r="AB175" s="163">
        <v>260</v>
      </c>
      <c r="AC175" s="163">
        <v>200</v>
      </c>
      <c r="AD175" s="163">
        <v>200</v>
      </c>
      <c r="AE175" s="904">
        <v>200</v>
      </c>
      <c r="AF175" s="124"/>
      <c r="AG175" s="79"/>
      <c r="AH175" s="79"/>
      <c r="AI175" s="1171">
        <v>10</v>
      </c>
      <c r="AJ175" s="903" t="s">
        <v>561</v>
      </c>
      <c r="AK175" s="903" t="s">
        <v>561</v>
      </c>
      <c r="AL175" s="163">
        <f t="shared" si="48"/>
        <v>7.5270000000000001</v>
      </c>
      <c r="AM175" s="163">
        <f t="shared" si="48"/>
        <v>5.4600000000000009</v>
      </c>
      <c r="AN175" s="163">
        <f t="shared" si="48"/>
        <v>5.72</v>
      </c>
      <c r="AO175" s="163">
        <f t="shared" si="48"/>
        <v>2.21</v>
      </c>
      <c r="AP175" s="904">
        <f t="shared" si="48"/>
        <v>1.95</v>
      </c>
      <c r="AQ175" s="70"/>
      <c r="AR175" s="70" t="s">
        <v>484</v>
      </c>
      <c r="AS175" s="70"/>
      <c r="AT175" s="70"/>
      <c r="AU175" s="70"/>
      <c r="AV175" s="70"/>
      <c r="AW175" s="70"/>
      <c r="AX175" s="70"/>
      <c r="AY175" s="70"/>
      <c r="AZ175" s="70"/>
      <c r="BA175" s="70"/>
      <c r="BB175" s="70"/>
      <c r="BC175" s="70"/>
      <c r="BD175" s="243"/>
      <c r="BE175" s="147"/>
      <c r="BF175" s="64"/>
    </row>
    <row r="176" spans="24:58" ht="18" customHeight="1" x14ac:dyDescent="0.2">
      <c r="X176" s="1171">
        <v>15</v>
      </c>
      <c r="Y176" s="903" t="s">
        <v>561</v>
      </c>
      <c r="Z176" s="903" t="s">
        <v>561</v>
      </c>
      <c r="AA176" s="163">
        <v>320</v>
      </c>
      <c r="AB176" s="163">
        <v>260</v>
      </c>
      <c r="AC176" s="163">
        <v>200</v>
      </c>
      <c r="AD176" s="163">
        <v>200</v>
      </c>
      <c r="AE176" s="904">
        <v>200</v>
      </c>
      <c r="AF176" s="124"/>
      <c r="AG176" s="79"/>
      <c r="AH176" s="79"/>
      <c r="AI176" s="1171">
        <v>15</v>
      </c>
      <c r="AJ176" s="903" t="s">
        <v>561</v>
      </c>
      <c r="AK176" s="903" t="s">
        <v>561</v>
      </c>
      <c r="AL176" s="163">
        <f t="shared" si="48"/>
        <v>9.5940000000000012</v>
      </c>
      <c r="AM176" s="163">
        <f t="shared" si="48"/>
        <v>7.5270000000000001</v>
      </c>
      <c r="AN176" s="163">
        <f t="shared" si="48"/>
        <v>5.72</v>
      </c>
      <c r="AO176" s="163">
        <f t="shared" si="48"/>
        <v>2.4700000000000002</v>
      </c>
      <c r="AP176" s="904">
        <f t="shared" si="48"/>
        <v>1.95</v>
      </c>
      <c r="AQ176" s="70"/>
      <c r="AR176" s="70"/>
      <c r="AS176" s="70"/>
      <c r="AT176" s="70"/>
      <c r="AU176" s="70"/>
      <c r="AV176" s="70"/>
      <c r="AW176" s="70"/>
      <c r="AX176" s="70"/>
      <c r="AY176" s="70"/>
      <c r="AZ176" s="70"/>
      <c r="BA176" s="70"/>
      <c r="BB176" s="70"/>
      <c r="BC176" s="70"/>
      <c r="BD176" s="243"/>
      <c r="BE176" s="147"/>
      <c r="BF176" s="64"/>
    </row>
    <row r="177" spans="24:58" ht="18" customHeight="1" x14ac:dyDescent="0.2">
      <c r="X177" s="280">
        <v>20</v>
      </c>
      <c r="Y177" s="905" t="s">
        <v>561</v>
      </c>
      <c r="Z177" s="905" t="s">
        <v>561</v>
      </c>
      <c r="AA177" s="905" t="s">
        <v>561</v>
      </c>
      <c r="AB177" s="906">
        <v>320</v>
      </c>
      <c r="AC177" s="906">
        <v>260</v>
      </c>
      <c r="AD177" s="906">
        <v>200</v>
      </c>
      <c r="AE177" s="907">
        <v>200</v>
      </c>
      <c r="AF177" s="124"/>
      <c r="AG177" s="79"/>
      <c r="AH177" s="79"/>
      <c r="AI177" s="280">
        <v>20</v>
      </c>
      <c r="AJ177" s="905" t="s">
        <v>561</v>
      </c>
      <c r="AK177" s="905" t="s">
        <v>561</v>
      </c>
      <c r="AL177" s="905" t="s">
        <v>561</v>
      </c>
      <c r="AM177" s="906">
        <f>((AM183/1000000)/$AS$181)*$AS$180</f>
        <v>8.2160000000000011</v>
      </c>
      <c r="AN177" s="906">
        <f>((AN183/1000000)/$AS$181)*$AS$180</f>
        <v>5.4600000000000009</v>
      </c>
      <c r="AO177" s="906">
        <f>((AO183/1000000)/$AS$181)*$AS$180</f>
        <v>5.72</v>
      </c>
      <c r="AP177" s="907">
        <f>((AP183/1000000)/$AS$181)*$AS$180</f>
        <v>1.95</v>
      </c>
      <c r="AQ177" s="70"/>
      <c r="AR177" s="70"/>
      <c r="AS177" s="70"/>
      <c r="AT177" s="70"/>
      <c r="AU177" s="70"/>
      <c r="AV177" s="70"/>
      <c r="AW177" s="70"/>
      <c r="AX177" s="70"/>
      <c r="AY177" s="70"/>
      <c r="AZ177" s="70"/>
      <c r="BA177" s="70"/>
      <c r="BB177" s="70"/>
      <c r="BC177" s="70"/>
      <c r="BD177" s="243"/>
      <c r="BE177" s="147"/>
      <c r="BF177" s="64"/>
    </row>
    <row r="178" spans="24:58" ht="18" customHeight="1" x14ac:dyDescent="0.2">
      <c r="X178" s="335"/>
      <c r="Y178" s="79"/>
      <c r="Z178" s="79"/>
      <c r="AA178" s="79"/>
      <c r="AB178" s="79"/>
      <c r="AC178" s="79"/>
      <c r="AD178" s="79"/>
      <c r="AE178" s="79"/>
      <c r="AF178" s="124"/>
      <c r="AG178" s="79"/>
      <c r="AH178" s="79"/>
      <c r="AI178" s="79"/>
      <c r="AJ178" s="79"/>
      <c r="AK178" s="79"/>
      <c r="AL178" s="79"/>
      <c r="AM178" s="79"/>
      <c r="AN178" s="79"/>
      <c r="AO178" s="79"/>
      <c r="AP178" s="70"/>
      <c r="AQ178" s="70"/>
      <c r="AR178" s="70"/>
      <c r="AS178" s="70"/>
      <c r="AT178" s="70"/>
      <c r="AU178" s="70"/>
      <c r="AV178" s="70"/>
      <c r="AW178" s="70"/>
      <c r="AX178" s="70"/>
      <c r="AY178" s="70"/>
      <c r="AZ178" s="70"/>
      <c r="BA178" s="70"/>
      <c r="BB178" s="70"/>
      <c r="BC178" s="70"/>
      <c r="BD178" s="243"/>
      <c r="BE178" s="147"/>
      <c r="BF178" s="64"/>
    </row>
    <row r="179" spans="24:58" ht="18" customHeight="1" x14ac:dyDescent="0.2">
      <c r="X179" s="278" t="s">
        <v>189</v>
      </c>
      <c r="Y179" s="302">
        <v>16</v>
      </c>
      <c r="Z179" s="302">
        <v>12.6</v>
      </c>
      <c r="AA179" s="302">
        <v>10.8</v>
      </c>
      <c r="AB179" s="302">
        <v>7.2</v>
      </c>
      <c r="AC179" s="302">
        <v>7.2</v>
      </c>
      <c r="AD179" s="302">
        <v>5.4</v>
      </c>
      <c r="AE179" s="303">
        <v>3.6</v>
      </c>
      <c r="AF179" s="124"/>
      <c r="AG179" s="79"/>
      <c r="AH179" s="79"/>
      <c r="AI179" s="278" t="s">
        <v>482</v>
      </c>
      <c r="AJ179" s="302">
        <v>16</v>
      </c>
      <c r="AK179" s="302">
        <v>12.6</v>
      </c>
      <c r="AL179" s="302">
        <v>10.8</v>
      </c>
      <c r="AM179" s="302">
        <v>9</v>
      </c>
      <c r="AN179" s="302">
        <v>7.2</v>
      </c>
      <c r="AO179" s="302">
        <v>5.4</v>
      </c>
      <c r="AP179" s="303">
        <v>3.6</v>
      </c>
      <c r="AQ179" s="70"/>
      <c r="AR179" s="70"/>
      <c r="AS179" s="70"/>
      <c r="AT179" s="70"/>
      <c r="AU179" s="70"/>
      <c r="AV179" s="70"/>
      <c r="AW179" s="70"/>
      <c r="AX179" s="70"/>
      <c r="AY179" s="70"/>
      <c r="AZ179" s="70"/>
      <c r="BA179" s="70"/>
      <c r="BB179" s="70"/>
      <c r="BC179" s="70"/>
      <c r="BD179" s="243"/>
      <c r="BE179" s="147"/>
      <c r="BF179" s="64"/>
    </row>
    <row r="180" spans="24:58" ht="18" customHeight="1" x14ac:dyDescent="0.2">
      <c r="X180" s="1171">
        <v>5</v>
      </c>
      <c r="Y180" s="903" t="s">
        <v>561</v>
      </c>
      <c r="Z180" s="903" t="s">
        <v>561</v>
      </c>
      <c r="AA180" s="163">
        <v>705</v>
      </c>
      <c r="AB180" s="163">
        <v>505</v>
      </c>
      <c r="AC180" s="163">
        <v>480</v>
      </c>
      <c r="AD180" s="163">
        <v>480</v>
      </c>
      <c r="AE180" s="904">
        <v>480</v>
      </c>
      <c r="AF180" s="124"/>
      <c r="AG180" s="79"/>
      <c r="AH180" s="79"/>
      <c r="AI180" s="1171">
        <v>5</v>
      </c>
      <c r="AJ180" s="903" t="s">
        <v>561</v>
      </c>
      <c r="AK180" s="903" t="s">
        <v>561</v>
      </c>
      <c r="AL180" s="163">
        <f>10*70+2*20</f>
        <v>740</v>
      </c>
      <c r="AM180" s="163">
        <f>6*70+6*20</f>
        <v>540</v>
      </c>
      <c r="AN180" s="163">
        <f>2*70+10*20</f>
        <v>340</v>
      </c>
      <c r="AO180" s="163">
        <v>300</v>
      </c>
      <c r="AP180" s="904">
        <f>2*70+8*20</f>
        <v>300</v>
      </c>
      <c r="AQ180" s="70"/>
      <c r="AR180" s="312" t="s">
        <v>2</v>
      </c>
      <c r="AS180" s="313">
        <v>7800</v>
      </c>
      <c r="AT180" s="314" t="s">
        <v>137</v>
      </c>
      <c r="AU180" s="70"/>
      <c r="AV180" s="70"/>
      <c r="AW180" s="70"/>
      <c r="AX180" s="70"/>
      <c r="AY180" s="70"/>
      <c r="AZ180" s="70"/>
      <c r="BA180" s="70"/>
      <c r="BB180" s="70"/>
      <c r="BC180" s="70"/>
      <c r="BD180" s="243"/>
      <c r="BE180" s="147"/>
      <c r="BF180" s="64"/>
    </row>
    <row r="181" spans="24:58" ht="18" customHeight="1" x14ac:dyDescent="0.2">
      <c r="X181" s="1171">
        <v>10</v>
      </c>
      <c r="Y181" s="903" t="s">
        <v>561</v>
      </c>
      <c r="Z181" s="903" t="s">
        <v>561</v>
      </c>
      <c r="AA181" s="163">
        <v>705</v>
      </c>
      <c r="AB181" s="163">
        <v>505</v>
      </c>
      <c r="AC181" s="163">
        <v>480</v>
      </c>
      <c r="AD181" s="163">
        <v>480</v>
      </c>
      <c r="AE181" s="904">
        <v>480</v>
      </c>
      <c r="AF181" s="124"/>
      <c r="AG181" s="79"/>
      <c r="AH181" s="79"/>
      <c r="AI181" s="1171">
        <v>10</v>
      </c>
      <c r="AJ181" s="903" t="s">
        <v>561</v>
      </c>
      <c r="AK181" s="903" t="s">
        <v>561</v>
      </c>
      <c r="AL181" s="163">
        <f>6*123+6*70</f>
        <v>1158</v>
      </c>
      <c r="AM181" s="163">
        <f>12*70</f>
        <v>840</v>
      </c>
      <c r="AN181" s="163">
        <f>12*70+2*20</f>
        <v>880</v>
      </c>
      <c r="AO181" s="163">
        <f>2*70+10*20</f>
        <v>340</v>
      </c>
      <c r="AP181" s="904">
        <v>300</v>
      </c>
      <c r="AQ181" s="70"/>
      <c r="AR181" s="312" t="s">
        <v>190</v>
      </c>
      <c r="AS181" s="313">
        <v>1.2</v>
      </c>
      <c r="AT181" s="314" t="s">
        <v>17</v>
      </c>
      <c r="AU181" s="70"/>
      <c r="AV181" s="70"/>
      <c r="AW181" s="70"/>
      <c r="AX181" s="70"/>
      <c r="AY181" s="70"/>
      <c r="AZ181" s="70"/>
      <c r="BA181" s="70"/>
      <c r="BB181" s="70"/>
      <c r="BC181" s="70"/>
      <c r="BD181" s="243"/>
      <c r="BE181" s="147"/>
      <c r="BF181" s="64"/>
    </row>
    <row r="182" spans="24:58" ht="18" customHeight="1" x14ac:dyDescent="0.2">
      <c r="X182" s="1171">
        <v>15</v>
      </c>
      <c r="Y182" s="903" t="s">
        <v>561</v>
      </c>
      <c r="Z182" s="903" t="s">
        <v>561</v>
      </c>
      <c r="AA182" s="163">
        <v>705</v>
      </c>
      <c r="AB182" s="163">
        <v>505</v>
      </c>
      <c r="AC182" s="163">
        <v>480</v>
      </c>
      <c r="AD182" s="163">
        <v>480</v>
      </c>
      <c r="AE182" s="904">
        <v>480</v>
      </c>
      <c r="AF182" s="124"/>
      <c r="AG182" s="79"/>
      <c r="AH182" s="79"/>
      <c r="AI182" s="1171">
        <v>15</v>
      </c>
      <c r="AJ182" s="903" t="s">
        <v>561</v>
      </c>
      <c r="AK182" s="903" t="s">
        <v>561</v>
      </c>
      <c r="AL182" s="163">
        <f>12*123</f>
        <v>1476</v>
      </c>
      <c r="AM182" s="163">
        <f>6*123+6*70</f>
        <v>1158</v>
      </c>
      <c r="AN182" s="163">
        <f>12*70+2*20</f>
        <v>880</v>
      </c>
      <c r="AO182" s="163">
        <f>2*70+12*20</f>
        <v>380</v>
      </c>
      <c r="AP182" s="904">
        <v>300</v>
      </c>
      <c r="AQ182" s="70"/>
      <c r="AR182" s="64"/>
      <c r="AS182" s="64"/>
      <c r="AT182" s="64"/>
      <c r="AU182" s="70"/>
      <c r="AV182" s="70"/>
      <c r="AW182" s="70"/>
      <c r="AX182" s="70"/>
      <c r="AY182" s="70"/>
      <c r="AZ182" s="70"/>
      <c r="BA182" s="70"/>
      <c r="BB182" s="70"/>
      <c r="BC182" s="70"/>
      <c r="BD182" s="243"/>
      <c r="BE182" s="147"/>
      <c r="BF182" s="64"/>
    </row>
    <row r="183" spans="24:58" ht="18" customHeight="1" x14ac:dyDescent="0.2">
      <c r="X183" s="280">
        <v>20</v>
      </c>
      <c r="Y183" s="905" t="s">
        <v>561</v>
      </c>
      <c r="Z183" s="905" t="s">
        <v>561</v>
      </c>
      <c r="AA183" s="905" t="s">
        <v>561</v>
      </c>
      <c r="AB183" s="906">
        <v>705</v>
      </c>
      <c r="AC183" s="906">
        <v>505</v>
      </c>
      <c r="AD183" s="906">
        <v>480</v>
      </c>
      <c r="AE183" s="907">
        <v>480</v>
      </c>
      <c r="AF183" s="124"/>
      <c r="AG183" s="79"/>
      <c r="AH183" s="79"/>
      <c r="AI183" s="280">
        <v>20</v>
      </c>
      <c r="AJ183" s="905" t="s">
        <v>561</v>
      </c>
      <c r="AK183" s="905" t="s">
        <v>561</v>
      </c>
      <c r="AL183" s="905" t="s">
        <v>561</v>
      </c>
      <c r="AM183" s="906">
        <f>8*123+4*70</f>
        <v>1264</v>
      </c>
      <c r="AN183" s="906">
        <f>12*70</f>
        <v>840</v>
      </c>
      <c r="AO183" s="906">
        <f>12*70+2*20</f>
        <v>880</v>
      </c>
      <c r="AP183" s="907">
        <v>300</v>
      </c>
      <c r="AQ183" s="70"/>
      <c r="AR183" s="70"/>
      <c r="AS183" s="70"/>
      <c r="AT183" s="70"/>
      <c r="AU183" s="70"/>
      <c r="AV183" s="70"/>
      <c r="AW183" s="70"/>
      <c r="AX183" s="70"/>
      <c r="AY183" s="70"/>
      <c r="AZ183" s="70"/>
      <c r="BA183" s="70"/>
      <c r="BB183" s="70"/>
      <c r="BC183" s="70"/>
      <c r="BD183" s="243"/>
      <c r="BE183" s="147"/>
      <c r="BF183" s="64"/>
    </row>
    <row r="184" spans="24:58" ht="18" customHeight="1" thickBot="1" x14ac:dyDescent="0.25">
      <c r="X184" s="337"/>
      <c r="Y184" s="163"/>
      <c r="Z184" s="163"/>
      <c r="AA184" s="163"/>
      <c r="AB184" s="163"/>
      <c r="AC184" s="163"/>
      <c r="AD184" s="79"/>
      <c r="AE184" s="124"/>
      <c r="AF184" s="124"/>
      <c r="AG184" s="79"/>
      <c r="AH184" s="154"/>
      <c r="AI184" s="165"/>
      <c r="AJ184" s="163"/>
      <c r="AK184" s="163"/>
      <c r="AL184" s="163"/>
      <c r="AM184" s="163"/>
      <c r="AN184" s="163"/>
      <c r="AO184" s="163"/>
      <c r="AP184" s="70"/>
      <c r="AQ184" s="70"/>
      <c r="AR184" s="70"/>
      <c r="AS184" s="70"/>
      <c r="AT184" s="70"/>
      <c r="AU184" s="70"/>
      <c r="AV184" s="70"/>
      <c r="AW184" s="70"/>
      <c r="AX184" s="70"/>
      <c r="AY184" s="70"/>
      <c r="AZ184" s="70"/>
      <c r="BA184" s="70"/>
      <c r="BB184" s="70"/>
      <c r="BC184" s="70"/>
      <c r="BD184" s="243"/>
      <c r="BE184" s="147"/>
      <c r="BF184" s="64"/>
    </row>
    <row r="185" spans="24:58" ht="18" customHeight="1" thickBot="1" x14ac:dyDescent="0.25">
      <c r="X185" s="254" t="s">
        <v>191</v>
      </c>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6"/>
      <c r="BE185" s="147"/>
      <c r="BF185" s="64"/>
    </row>
    <row r="186" spans="24:58" ht="18" customHeight="1" x14ac:dyDescent="0.2">
      <c r="X186" s="335"/>
      <c r="Y186" s="79"/>
      <c r="Z186" s="79"/>
      <c r="AA186" s="79"/>
      <c r="AB186" s="79"/>
      <c r="AC186" s="79"/>
      <c r="AD186" s="79"/>
      <c r="AE186" s="124"/>
      <c r="AF186" s="124"/>
      <c r="AG186" s="79"/>
      <c r="AH186" s="79"/>
      <c r="AI186" s="79"/>
      <c r="AJ186" s="79"/>
      <c r="AK186" s="79"/>
      <c r="AL186" s="79"/>
      <c r="AM186" s="79"/>
      <c r="AN186" s="79"/>
      <c r="AO186" s="79"/>
      <c r="AP186" s="70"/>
      <c r="AQ186" s="70"/>
      <c r="AR186" s="70"/>
      <c r="AS186" s="70"/>
      <c r="AT186" s="70"/>
      <c r="AU186" s="70"/>
      <c r="AV186" s="70"/>
      <c r="AW186" s="70"/>
      <c r="AX186" s="70"/>
      <c r="AY186" s="70"/>
      <c r="AZ186" s="70"/>
      <c r="BA186" s="70"/>
      <c r="BB186" s="70"/>
      <c r="BC186" s="70"/>
      <c r="BD186" s="243"/>
      <c r="BE186" s="147"/>
      <c r="BF186" s="64"/>
    </row>
    <row r="187" spans="24:58" ht="18" customHeight="1" x14ac:dyDescent="0.2">
      <c r="X187" s="278" t="s">
        <v>141</v>
      </c>
      <c r="Y187" s="302">
        <v>16</v>
      </c>
      <c r="Z187" s="302">
        <v>12.6</v>
      </c>
      <c r="AA187" s="302">
        <v>10.8</v>
      </c>
      <c r="AB187" s="302">
        <v>9</v>
      </c>
      <c r="AC187" s="302">
        <v>7.2</v>
      </c>
      <c r="AD187" s="302">
        <v>5.4</v>
      </c>
      <c r="AE187" s="303">
        <v>3.6</v>
      </c>
      <c r="AF187" s="124"/>
      <c r="AG187" s="79"/>
      <c r="AH187" s="79"/>
      <c r="AI187" s="278" t="s">
        <v>186</v>
      </c>
      <c r="AJ187" s="302">
        <v>16</v>
      </c>
      <c r="AK187" s="302">
        <v>12.6</v>
      </c>
      <c r="AL187" s="302">
        <v>10.8</v>
      </c>
      <c r="AM187" s="302">
        <v>9</v>
      </c>
      <c r="AN187" s="302">
        <v>7.2</v>
      </c>
      <c r="AO187" s="302">
        <v>5.4</v>
      </c>
      <c r="AP187" s="303">
        <v>3.6</v>
      </c>
      <c r="AQ187" s="70"/>
      <c r="AR187" s="70"/>
      <c r="AS187" s="70"/>
      <c r="AT187" s="70"/>
      <c r="AU187" s="70"/>
      <c r="AV187" s="70"/>
      <c r="AW187" s="70"/>
      <c r="AX187" s="70"/>
      <c r="AY187" s="70"/>
      <c r="AZ187" s="70"/>
      <c r="BA187" s="70"/>
      <c r="BB187" s="70"/>
      <c r="BC187" s="70"/>
      <c r="BD187" s="243"/>
      <c r="BE187" s="147"/>
      <c r="BF187" s="64"/>
    </row>
    <row r="188" spans="24:58" ht="18" customHeight="1" x14ac:dyDescent="0.2">
      <c r="X188" s="1171">
        <v>5</v>
      </c>
      <c r="Y188" s="903" t="s">
        <v>561</v>
      </c>
      <c r="Z188" s="903" t="s">
        <v>561</v>
      </c>
      <c r="AA188" s="163">
        <v>320</v>
      </c>
      <c r="AB188" s="163">
        <v>260</v>
      </c>
      <c r="AC188" s="163">
        <v>200</v>
      </c>
      <c r="AD188" s="163">
        <v>200</v>
      </c>
      <c r="AE188" s="904">
        <v>200</v>
      </c>
      <c r="AF188" s="124"/>
      <c r="AG188" s="79"/>
      <c r="AH188" s="79"/>
      <c r="AI188" s="1171">
        <v>5</v>
      </c>
      <c r="AJ188" s="903" t="s">
        <v>561</v>
      </c>
      <c r="AK188" s="903" t="s">
        <v>561</v>
      </c>
      <c r="AL188" s="163">
        <f t="shared" ref="AL188:AP190" si="49">((AL194/1000000)/$AS$181)*$AS$180</f>
        <v>4.8100000000000005</v>
      </c>
      <c r="AM188" s="163">
        <f t="shared" si="49"/>
        <v>3.5100000000000002</v>
      </c>
      <c r="AN188" s="163">
        <f t="shared" si="49"/>
        <v>2.21</v>
      </c>
      <c r="AO188" s="163">
        <f t="shared" si="49"/>
        <v>1.95</v>
      </c>
      <c r="AP188" s="904">
        <f t="shared" si="49"/>
        <v>1.95</v>
      </c>
      <c r="AQ188" s="70"/>
      <c r="AR188" s="70" t="s">
        <v>483</v>
      </c>
      <c r="AS188" s="70"/>
      <c r="AT188" s="70"/>
      <c r="AU188" s="70"/>
      <c r="AV188" s="70"/>
      <c r="AW188" s="70"/>
      <c r="AX188" s="70"/>
      <c r="AY188" s="70"/>
      <c r="AZ188" s="70"/>
      <c r="BA188" s="70"/>
      <c r="BB188" s="70"/>
      <c r="BC188" s="70"/>
      <c r="BD188" s="243"/>
      <c r="BE188" s="147"/>
      <c r="BF188" s="64"/>
    </row>
    <row r="189" spans="24:58" ht="18" customHeight="1" x14ac:dyDescent="0.2">
      <c r="X189" s="1171">
        <v>10</v>
      </c>
      <c r="Y189" s="903" t="s">
        <v>561</v>
      </c>
      <c r="Z189" s="903" t="s">
        <v>561</v>
      </c>
      <c r="AA189" s="163">
        <v>320</v>
      </c>
      <c r="AB189" s="163">
        <v>260</v>
      </c>
      <c r="AC189" s="163">
        <v>200</v>
      </c>
      <c r="AD189" s="163">
        <v>200</v>
      </c>
      <c r="AE189" s="904">
        <v>200</v>
      </c>
      <c r="AF189" s="124"/>
      <c r="AG189" s="79"/>
      <c r="AH189" s="79"/>
      <c r="AI189" s="1171">
        <v>10</v>
      </c>
      <c r="AJ189" s="903" t="s">
        <v>561</v>
      </c>
      <c r="AK189" s="903" t="s">
        <v>561</v>
      </c>
      <c r="AL189" s="163">
        <f t="shared" si="49"/>
        <v>7.5270000000000001</v>
      </c>
      <c r="AM189" s="163">
        <f t="shared" si="49"/>
        <v>5.4600000000000009</v>
      </c>
      <c r="AN189" s="163">
        <f t="shared" si="49"/>
        <v>5.72</v>
      </c>
      <c r="AO189" s="163">
        <f t="shared" si="49"/>
        <v>2.21</v>
      </c>
      <c r="AP189" s="904">
        <f t="shared" si="49"/>
        <v>1.95</v>
      </c>
      <c r="AQ189" s="70"/>
      <c r="AR189" s="70" t="s">
        <v>484</v>
      </c>
      <c r="AS189" s="70"/>
      <c r="AT189" s="70"/>
      <c r="AU189" s="70"/>
      <c r="AV189" s="70"/>
      <c r="AW189" s="70"/>
      <c r="AX189" s="70"/>
      <c r="AY189" s="70"/>
      <c r="AZ189" s="70"/>
      <c r="BA189" s="70"/>
      <c r="BB189" s="70"/>
      <c r="BC189" s="70"/>
      <c r="BD189" s="243"/>
      <c r="BE189" s="147"/>
      <c r="BF189" s="64"/>
    </row>
    <row r="190" spans="24:58" ht="18" customHeight="1" x14ac:dyDescent="0.2">
      <c r="X190" s="1171">
        <v>15</v>
      </c>
      <c r="Y190" s="903" t="s">
        <v>561</v>
      </c>
      <c r="Z190" s="903" t="s">
        <v>561</v>
      </c>
      <c r="AA190" s="163">
        <v>320</v>
      </c>
      <c r="AB190" s="163">
        <v>260</v>
      </c>
      <c r="AC190" s="163">
        <v>200</v>
      </c>
      <c r="AD190" s="163">
        <v>200</v>
      </c>
      <c r="AE190" s="904">
        <v>200</v>
      </c>
      <c r="AF190" s="124"/>
      <c r="AG190" s="79"/>
      <c r="AH190" s="79"/>
      <c r="AI190" s="1171">
        <v>15</v>
      </c>
      <c r="AJ190" s="903" t="s">
        <v>561</v>
      </c>
      <c r="AK190" s="903" t="s">
        <v>561</v>
      </c>
      <c r="AL190" s="163">
        <f t="shared" si="49"/>
        <v>9.5940000000000012</v>
      </c>
      <c r="AM190" s="163">
        <f t="shared" si="49"/>
        <v>7.5270000000000001</v>
      </c>
      <c r="AN190" s="163">
        <f t="shared" si="49"/>
        <v>5.72</v>
      </c>
      <c r="AO190" s="163">
        <f t="shared" si="49"/>
        <v>2.4700000000000002</v>
      </c>
      <c r="AP190" s="904">
        <f t="shared" si="49"/>
        <v>1.95</v>
      </c>
      <c r="AQ190" s="70"/>
      <c r="AR190" s="70"/>
      <c r="AS190" s="70"/>
      <c r="AT190" s="70"/>
      <c r="AU190" s="70"/>
      <c r="AV190" s="70"/>
      <c r="AW190" s="70"/>
      <c r="AX190" s="70"/>
      <c r="AY190" s="70"/>
      <c r="AZ190" s="70"/>
      <c r="BA190" s="70"/>
      <c r="BB190" s="70"/>
      <c r="BC190" s="70"/>
      <c r="BD190" s="243"/>
      <c r="BE190" s="147"/>
      <c r="BF190" s="64"/>
    </row>
    <row r="191" spans="24:58" ht="18" customHeight="1" x14ac:dyDescent="0.2">
      <c r="X191" s="280">
        <v>20</v>
      </c>
      <c r="Y191" s="905" t="s">
        <v>561</v>
      </c>
      <c r="Z191" s="905" t="s">
        <v>561</v>
      </c>
      <c r="AA191" s="905" t="s">
        <v>561</v>
      </c>
      <c r="AB191" s="906">
        <v>320</v>
      </c>
      <c r="AC191" s="906">
        <v>260</v>
      </c>
      <c r="AD191" s="906">
        <v>200</v>
      </c>
      <c r="AE191" s="907">
        <v>200</v>
      </c>
      <c r="AF191" s="124"/>
      <c r="AG191" s="79"/>
      <c r="AH191" s="79"/>
      <c r="AI191" s="280">
        <v>20</v>
      </c>
      <c r="AJ191" s="905" t="s">
        <v>561</v>
      </c>
      <c r="AK191" s="905" t="s">
        <v>561</v>
      </c>
      <c r="AL191" s="905" t="s">
        <v>561</v>
      </c>
      <c r="AM191" s="906">
        <f>((AM197/1000000)/$AS$181)*$AS$180</f>
        <v>8.2160000000000011</v>
      </c>
      <c r="AN191" s="906">
        <f>((AN197/1000000)/$AS$181)*$AS$180</f>
        <v>5.4600000000000009</v>
      </c>
      <c r="AO191" s="906">
        <f>((AO197/1000000)/$AS$181)*$AS$180</f>
        <v>5.72</v>
      </c>
      <c r="AP191" s="907">
        <f>((AP197/1000000)/$AS$181)*$AS$180</f>
        <v>1.95</v>
      </c>
      <c r="AQ191" s="70"/>
      <c r="AR191" s="70"/>
      <c r="AS191" s="70"/>
      <c r="AT191" s="70"/>
      <c r="AU191" s="70"/>
      <c r="AV191" s="70"/>
      <c r="AW191" s="70"/>
      <c r="AX191" s="70"/>
      <c r="AY191" s="70"/>
      <c r="AZ191" s="70"/>
      <c r="BA191" s="70"/>
      <c r="BB191" s="70"/>
      <c r="BC191" s="70"/>
      <c r="BD191" s="243"/>
      <c r="BE191" s="147"/>
      <c r="BF191" s="64"/>
    </row>
    <row r="192" spans="24:58" ht="18" customHeight="1" x14ac:dyDescent="0.2">
      <c r="X192" s="335"/>
      <c r="Y192" s="79"/>
      <c r="Z192" s="79"/>
      <c r="AA192" s="79"/>
      <c r="AB192" s="79"/>
      <c r="AC192" s="79"/>
      <c r="AD192" s="79"/>
      <c r="AE192" s="79"/>
      <c r="AF192" s="124"/>
      <c r="AG192" s="79"/>
      <c r="AH192" s="79"/>
      <c r="AI192" s="79"/>
      <c r="AJ192" s="79"/>
      <c r="AK192" s="79"/>
      <c r="AL192" s="79"/>
      <c r="AM192" s="79"/>
      <c r="AN192" s="79"/>
      <c r="AO192" s="79"/>
      <c r="AP192" s="70"/>
      <c r="AQ192" s="70"/>
      <c r="AR192" s="70"/>
      <c r="AS192" s="70"/>
      <c r="AT192" s="70"/>
      <c r="AU192" s="70"/>
      <c r="AV192" s="70"/>
      <c r="AW192" s="70"/>
      <c r="AX192" s="70"/>
      <c r="AY192" s="70"/>
      <c r="AZ192" s="70"/>
      <c r="BA192" s="70"/>
      <c r="BB192" s="70"/>
      <c r="BC192" s="70"/>
      <c r="BD192" s="243"/>
      <c r="BE192" s="147"/>
      <c r="BF192" s="64"/>
    </row>
    <row r="193" spans="24:58" ht="18" customHeight="1" x14ac:dyDescent="0.2">
      <c r="X193" s="278" t="s">
        <v>189</v>
      </c>
      <c r="Y193" s="302">
        <v>16</v>
      </c>
      <c r="Z193" s="302">
        <v>12.6</v>
      </c>
      <c r="AA193" s="302">
        <v>10.8</v>
      </c>
      <c r="AB193" s="302">
        <v>7.2</v>
      </c>
      <c r="AC193" s="302">
        <v>7.2</v>
      </c>
      <c r="AD193" s="302">
        <v>5.4</v>
      </c>
      <c r="AE193" s="303">
        <v>3.6</v>
      </c>
      <c r="AF193" s="124"/>
      <c r="AG193" s="79"/>
      <c r="AH193" s="79"/>
      <c r="AI193" s="278" t="s">
        <v>482</v>
      </c>
      <c r="AJ193" s="302">
        <v>16</v>
      </c>
      <c r="AK193" s="302">
        <v>12.6</v>
      </c>
      <c r="AL193" s="302">
        <v>10.8</v>
      </c>
      <c r="AM193" s="302">
        <v>9</v>
      </c>
      <c r="AN193" s="302">
        <v>7.2</v>
      </c>
      <c r="AO193" s="302">
        <v>5.4</v>
      </c>
      <c r="AP193" s="303">
        <v>3.6</v>
      </c>
      <c r="AQ193" s="70"/>
      <c r="AR193" s="70"/>
      <c r="AS193" s="70"/>
      <c r="AT193" s="70"/>
      <c r="AU193" s="70"/>
      <c r="AV193" s="70"/>
      <c r="AW193" s="70"/>
      <c r="AX193" s="70"/>
      <c r="AY193" s="70"/>
      <c r="AZ193" s="70"/>
      <c r="BA193" s="70"/>
      <c r="BB193" s="70"/>
      <c r="BC193" s="70"/>
      <c r="BD193" s="243"/>
      <c r="BE193" s="147"/>
      <c r="BF193" s="64"/>
    </row>
    <row r="194" spans="24:58" ht="18" customHeight="1" x14ac:dyDescent="0.2">
      <c r="X194" s="1171">
        <v>5</v>
      </c>
      <c r="Y194" s="903" t="s">
        <v>561</v>
      </c>
      <c r="Z194" s="903" t="s">
        <v>561</v>
      </c>
      <c r="AA194" s="163">
        <v>705</v>
      </c>
      <c r="AB194" s="163">
        <v>505</v>
      </c>
      <c r="AC194" s="163">
        <v>480</v>
      </c>
      <c r="AD194" s="163">
        <v>480</v>
      </c>
      <c r="AE194" s="904">
        <v>480</v>
      </c>
      <c r="AF194" s="124"/>
      <c r="AG194" s="79"/>
      <c r="AH194" s="79"/>
      <c r="AI194" s="1171">
        <v>5</v>
      </c>
      <c r="AJ194" s="903" t="s">
        <v>561</v>
      </c>
      <c r="AK194" s="903" t="s">
        <v>561</v>
      </c>
      <c r="AL194" s="163">
        <f>10*70+2*20</f>
        <v>740</v>
      </c>
      <c r="AM194" s="163">
        <f>6*70+6*20</f>
        <v>540</v>
      </c>
      <c r="AN194" s="163">
        <f>2*70+10*20</f>
        <v>340</v>
      </c>
      <c r="AO194" s="163">
        <v>300</v>
      </c>
      <c r="AP194" s="904">
        <f>2*70+8*20</f>
        <v>300</v>
      </c>
      <c r="AQ194" s="70"/>
      <c r="AR194" s="312" t="s">
        <v>2</v>
      </c>
      <c r="AS194" s="313">
        <v>7800</v>
      </c>
      <c r="AT194" s="314" t="s">
        <v>137</v>
      </c>
      <c r="AU194" s="70"/>
      <c r="AV194" s="70"/>
      <c r="AW194" s="70"/>
      <c r="AX194" s="70"/>
      <c r="AY194" s="70"/>
      <c r="AZ194" s="70"/>
      <c r="BA194" s="70"/>
      <c r="BB194" s="70"/>
      <c r="BC194" s="70"/>
      <c r="BD194" s="243"/>
      <c r="BE194" s="147"/>
      <c r="BF194" s="64"/>
    </row>
    <row r="195" spans="24:58" ht="18" customHeight="1" x14ac:dyDescent="0.2">
      <c r="X195" s="1171">
        <v>10</v>
      </c>
      <c r="Y195" s="903" t="s">
        <v>561</v>
      </c>
      <c r="Z195" s="903" t="s">
        <v>561</v>
      </c>
      <c r="AA195" s="163">
        <v>705</v>
      </c>
      <c r="AB195" s="163">
        <v>505</v>
      </c>
      <c r="AC195" s="163">
        <v>480</v>
      </c>
      <c r="AD195" s="163">
        <v>480</v>
      </c>
      <c r="AE195" s="904">
        <v>480</v>
      </c>
      <c r="AF195" s="124"/>
      <c r="AG195" s="79"/>
      <c r="AH195" s="79"/>
      <c r="AI195" s="1171">
        <v>10</v>
      </c>
      <c r="AJ195" s="903" t="s">
        <v>561</v>
      </c>
      <c r="AK195" s="903" t="s">
        <v>561</v>
      </c>
      <c r="AL195" s="163">
        <f>6*123+6*70</f>
        <v>1158</v>
      </c>
      <c r="AM195" s="163">
        <f>12*70</f>
        <v>840</v>
      </c>
      <c r="AN195" s="163">
        <f>12*70+2*20</f>
        <v>880</v>
      </c>
      <c r="AO195" s="163">
        <f>2*70+10*20</f>
        <v>340</v>
      </c>
      <c r="AP195" s="904">
        <v>300</v>
      </c>
      <c r="AQ195" s="70"/>
      <c r="AR195" s="312" t="s">
        <v>190</v>
      </c>
      <c r="AS195" s="313">
        <v>1.2</v>
      </c>
      <c r="AT195" s="314" t="s">
        <v>17</v>
      </c>
      <c r="AU195" s="70"/>
      <c r="AV195" s="70"/>
      <c r="AW195" s="70"/>
      <c r="AX195" s="70"/>
      <c r="AY195" s="70"/>
      <c r="AZ195" s="70"/>
      <c r="BA195" s="70"/>
      <c r="BB195" s="70"/>
      <c r="BC195" s="70"/>
      <c r="BD195" s="243"/>
      <c r="BE195" s="147"/>
      <c r="BF195" s="64"/>
    </row>
    <row r="196" spans="24:58" ht="18" customHeight="1" x14ac:dyDescent="0.2">
      <c r="X196" s="1171">
        <v>15</v>
      </c>
      <c r="Y196" s="903" t="s">
        <v>561</v>
      </c>
      <c r="Z196" s="903" t="s">
        <v>561</v>
      </c>
      <c r="AA196" s="163">
        <v>705</v>
      </c>
      <c r="AB196" s="163">
        <v>505</v>
      </c>
      <c r="AC196" s="163">
        <v>480</v>
      </c>
      <c r="AD196" s="163">
        <v>480</v>
      </c>
      <c r="AE196" s="904">
        <v>480</v>
      </c>
      <c r="AF196" s="124"/>
      <c r="AG196" s="79"/>
      <c r="AH196" s="79"/>
      <c r="AI196" s="1171">
        <v>15</v>
      </c>
      <c r="AJ196" s="903" t="s">
        <v>561</v>
      </c>
      <c r="AK196" s="903" t="s">
        <v>561</v>
      </c>
      <c r="AL196" s="163">
        <f>12*123</f>
        <v>1476</v>
      </c>
      <c r="AM196" s="163">
        <f>6*123+6*70</f>
        <v>1158</v>
      </c>
      <c r="AN196" s="163">
        <f>12*70+2*20</f>
        <v>880</v>
      </c>
      <c r="AO196" s="163">
        <f>2*70+12*20</f>
        <v>380</v>
      </c>
      <c r="AP196" s="904">
        <v>300</v>
      </c>
      <c r="AQ196" s="70"/>
      <c r="AR196" s="64"/>
      <c r="AS196" s="64"/>
      <c r="AT196" s="64"/>
      <c r="AU196" s="70"/>
      <c r="AV196" s="70"/>
      <c r="AW196" s="70"/>
      <c r="AX196" s="70"/>
      <c r="AY196" s="70"/>
      <c r="AZ196" s="70"/>
      <c r="BA196" s="70"/>
      <c r="BB196" s="70"/>
      <c r="BC196" s="70"/>
      <c r="BD196" s="243"/>
      <c r="BE196" s="147"/>
      <c r="BF196" s="64"/>
    </row>
    <row r="197" spans="24:58" ht="18" customHeight="1" x14ac:dyDescent="0.2">
      <c r="X197" s="280">
        <v>20</v>
      </c>
      <c r="Y197" s="905" t="s">
        <v>561</v>
      </c>
      <c r="Z197" s="905" t="s">
        <v>561</v>
      </c>
      <c r="AA197" s="905" t="s">
        <v>561</v>
      </c>
      <c r="AB197" s="906">
        <v>705</v>
      </c>
      <c r="AC197" s="906">
        <v>505</v>
      </c>
      <c r="AD197" s="906">
        <v>480</v>
      </c>
      <c r="AE197" s="907">
        <v>480</v>
      </c>
      <c r="AF197" s="124"/>
      <c r="AG197" s="79"/>
      <c r="AH197" s="79"/>
      <c r="AI197" s="280">
        <v>20</v>
      </c>
      <c r="AJ197" s="905" t="s">
        <v>561</v>
      </c>
      <c r="AK197" s="905" t="s">
        <v>561</v>
      </c>
      <c r="AL197" s="905" t="s">
        <v>561</v>
      </c>
      <c r="AM197" s="906">
        <f>8*123+4*70</f>
        <v>1264</v>
      </c>
      <c r="AN197" s="906">
        <f>12*70</f>
        <v>840</v>
      </c>
      <c r="AO197" s="906">
        <f>12*70+2*20</f>
        <v>880</v>
      </c>
      <c r="AP197" s="907">
        <v>300</v>
      </c>
      <c r="AQ197" s="70"/>
      <c r="AR197" s="70"/>
      <c r="AS197" s="70"/>
      <c r="AT197" s="70"/>
      <c r="AU197" s="70"/>
      <c r="AV197" s="70"/>
      <c r="AW197" s="70"/>
      <c r="AX197" s="70"/>
      <c r="AY197" s="70"/>
      <c r="AZ197" s="70"/>
      <c r="BA197" s="70"/>
      <c r="BB197" s="70"/>
      <c r="BC197" s="70"/>
      <c r="BD197" s="243"/>
      <c r="BE197" s="147"/>
      <c r="BF197" s="64"/>
    </row>
    <row r="198" spans="24:58" ht="18" customHeight="1" thickBot="1" x14ac:dyDescent="0.25">
      <c r="X198" s="337"/>
      <c r="Y198" s="163"/>
      <c r="Z198" s="163"/>
      <c r="AA198" s="163"/>
      <c r="AB198" s="163"/>
      <c r="AC198" s="163"/>
      <c r="AD198" s="79"/>
      <c r="AE198" s="124"/>
      <c r="AF198" s="124"/>
      <c r="AG198" s="79"/>
      <c r="AH198" s="154"/>
      <c r="AI198" s="165"/>
      <c r="AJ198" s="163"/>
      <c r="AK198" s="163"/>
      <c r="AL198" s="163"/>
      <c r="AM198" s="163"/>
      <c r="AN198" s="163"/>
      <c r="AO198" s="163"/>
      <c r="AP198" s="70"/>
      <c r="AQ198" s="70"/>
      <c r="AR198" s="70"/>
      <c r="AS198" s="70"/>
      <c r="AT198" s="70"/>
      <c r="AU198" s="70"/>
      <c r="AV198" s="70"/>
      <c r="AW198" s="70"/>
      <c r="AX198" s="70"/>
      <c r="AY198" s="70"/>
      <c r="AZ198" s="70"/>
      <c r="BA198" s="70"/>
      <c r="BB198" s="70"/>
      <c r="BC198" s="70"/>
      <c r="BD198" s="243"/>
      <c r="BE198" s="147"/>
      <c r="BF198" s="64"/>
    </row>
    <row r="199" spans="24:58" ht="18" customHeight="1" thickBot="1" x14ac:dyDescent="0.25">
      <c r="X199" s="254" t="s">
        <v>47</v>
      </c>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6"/>
      <c r="BE199" s="147"/>
      <c r="BF199" s="64"/>
    </row>
    <row r="200" spans="24:58" ht="18" customHeight="1" x14ac:dyDescent="0.2">
      <c r="X200" s="335"/>
      <c r="Y200" s="79"/>
      <c r="Z200" s="79"/>
      <c r="AA200" s="79"/>
      <c r="AB200" s="79"/>
      <c r="AC200" s="79"/>
      <c r="AD200" s="79"/>
      <c r="AE200" s="124"/>
      <c r="AF200" s="124"/>
      <c r="AG200" s="79"/>
      <c r="AH200" s="79"/>
      <c r="AI200" s="79"/>
      <c r="AJ200" s="79"/>
      <c r="AK200" s="79"/>
      <c r="AL200" s="79"/>
      <c r="AM200" s="79"/>
      <c r="AN200" s="79"/>
      <c r="AO200" s="79"/>
      <c r="AP200" s="70"/>
      <c r="AQ200" s="70"/>
      <c r="AR200" s="70"/>
      <c r="AS200" s="70"/>
      <c r="AT200" s="70"/>
      <c r="AU200" s="70"/>
      <c r="AV200" s="70"/>
      <c r="AW200" s="70"/>
      <c r="AX200" s="70"/>
      <c r="AY200" s="70"/>
      <c r="AZ200" s="70"/>
      <c r="BA200" s="70"/>
      <c r="BB200" s="70"/>
      <c r="BC200" s="70"/>
      <c r="BD200" s="243"/>
      <c r="BE200" s="147"/>
      <c r="BF200" s="64"/>
    </row>
    <row r="201" spans="24:58" ht="18" customHeight="1" x14ac:dyDescent="0.2">
      <c r="X201" s="278" t="s">
        <v>141</v>
      </c>
      <c r="Y201" s="302">
        <v>16</v>
      </c>
      <c r="Z201" s="302">
        <v>12.6</v>
      </c>
      <c r="AA201" s="302">
        <v>10.8</v>
      </c>
      <c r="AB201" s="302">
        <v>9</v>
      </c>
      <c r="AC201" s="302">
        <v>7.2</v>
      </c>
      <c r="AD201" s="302">
        <v>5.4</v>
      </c>
      <c r="AE201" s="303">
        <v>3.6</v>
      </c>
      <c r="AF201" s="124"/>
      <c r="AG201" s="79"/>
      <c r="AH201" s="79"/>
      <c r="AI201" s="278" t="s">
        <v>186</v>
      </c>
      <c r="AJ201" s="302">
        <v>16</v>
      </c>
      <c r="AK201" s="302">
        <v>12.6</v>
      </c>
      <c r="AL201" s="302">
        <v>10.8</v>
      </c>
      <c r="AM201" s="302">
        <v>9</v>
      </c>
      <c r="AN201" s="302">
        <v>7.2</v>
      </c>
      <c r="AO201" s="302">
        <v>5.4</v>
      </c>
      <c r="AP201" s="303">
        <v>3.6</v>
      </c>
      <c r="AQ201" s="70"/>
      <c r="AR201" s="70"/>
      <c r="AS201" s="70"/>
      <c r="AT201" s="70"/>
      <c r="AU201" s="70"/>
      <c r="AV201" s="70"/>
      <c r="AW201" s="70"/>
      <c r="AX201" s="70"/>
      <c r="AY201" s="70"/>
      <c r="AZ201" s="70"/>
      <c r="BA201" s="70"/>
      <c r="BB201" s="70"/>
      <c r="BC201" s="70"/>
      <c r="BD201" s="243"/>
      <c r="BE201" s="147"/>
      <c r="BF201" s="64"/>
    </row>
    <row r="202" spans="24:58" ht="18" customHeight="1" x14ac:dyDescent="0.2">
      <c r="X202" s="1171">
        <v>5</v>
      </c>
      <c r="Y202" s="903" t="s">
        <v>561</v>
      </c>
      <c r="Z202" s="163">
        <v>400</v>
      </c>
      <c r="AA202" s="163">
        <v>320</v>
      </c>
      <c r="AB202" s="163">
        <v>260</v>
      </c>
      <c r="AC202" s="163">
        <v>200</v>
      </c>
      <c r="AD202" s="163">
        <v>200</v>
      </c>
      <c r="AE202" s="904">
        <v>200</v>
      </c>
      <c r="AF202" s="124"/>
      <c r="AG202" s="79"/>
      <c r="AH202" s="79"/>
      <c r="AI202" s="1171">
        <v>5</v>
      </c>
      <c r="AJ202" s="903" t="s">
        <v>561</v>
      </c>
      <c r="AK202" s="163">
        <f t="shared" ref="AK202:AP202" si="50">((AK208/1000000)/$AS$181)*$AS$180</f>
        <v>4.8100000000000005</v>
      </c>
      <c r="AL202" s="163">
        <f t="shared" si="50"/>
        <v>4.8100000000000005</v>
      </c>
      <c r="AM202" s="163">
        <f t="shared" si="50"/>
        <v>3.5100000000000002</v>
      </c>
      <c r="AN202" s="163">
        <f t="shared" si="50"/>
        <v>2.21</v>
      </c>
      <c r="AO202" s="163">
        <f t="shared" si="50"/>
        <v>1.95</v>
      </c>
      <c r="AP202" s="904">
        <f t="shared" si="50"/>
        <v>1.95</v>
      </c>
      <c r="AQ202" s="70"/>
      <c r="AR202" s="70" t="s">
        <v>483</v>
      </c>
      <c r="AS202" s="70"/>
      <c r="AT202" s="70"/>
      <c r="AU202" s="70"/>
      <c r="AV202" s="70"/>
      <c r="AW202" s="70"/>
      <c r="AX202" s="70"/>
      <c r="AY202" s="70"/>
      <c r="AZ202" s="70"/>
      <c r="BA202" s="70"/>
      <c r="BB202" s="70"/>
      <c r="BC202" s="70"/>
      <c r="BD202" s="243"/>
      <c r="BE202" s="147"/>
      <c r="BF202" s="64"/>
    </row>
    <row r="203" spans="24:58" ht="18" customHeight="1" x14ac:dyDescent="0.2">
      <c r="X203" s="1171">
        <v>10</v>
      </c>
      <c r="Y203" s="903" t="s">
        <v>561</v>
      </c>
      <c r="Z203" s="903" t="s">
        <v>561</v>
      </c>
      <c r="AA203" s="903" t="s">
        <v>561</v>
      </c>
      <c r="AB203" s="903">
        <v>320</v>
      </c>
      <c r="AC203" s="163">
        <v>260</v>
      </c>
      <c r="AD203" s="163">
        <v>260</v>
      </c>
      <c r="AE203" s="904">
        <v>200</v>
      </c>
      <c r="AF203" s="124"/>
      <c r="AG203" s="79"/>
      <c r="AH203" s="79"/>
      <c r="AI203" s="1171">
        <v>10</v>
      </c>
      <c r="AJ203" s="903" t="s">
        <v>561</v>
      </c>
      <c r="AK203" s="903" t="s">
        <v>561</v>
      </c>
      <c r="AL203" s="903" t="s">
        <v>561</v>
      </c>
      <c r="AM203" s="903">
        <v>5</v>
      </c>
      <c r="AN203" s="163">
        <f t="shared" ref="AN203:AP204" si="51">((AN209/1000000)/$AS$181)*$AS$180</f>
        <v>2.86</v>
      </c>
      <c r="AO203" s="163">
        <f t="shared" si="51"/>
        <v>2.21</v>
      </c>
      <c r="AP203" s="904">
        <f t="shared" si="51"/>
        <v>1.95</v>
      </c>
      <c r="AQ203" s="70"/>
      <c r="AR203" s="70" t="s">
        <v>484</v>
      </c>
      <c r="AS203" s="70"/>
      <c r="AT203" s="70"/>
      <c r="AU203" s="70"/>
      <c r="AV203" s="70"/>
      <c r="AW203" s="70"/>
      <c r="AX203" s="70"/>
      <c r="AY203" s="70"/>
      <c r="AZ203" s="70"/>
      <c r="BA203" s="70"/>
      <c r="BB203" s="70"/>
      <c r="BC203" s="70"/>
      <c r="BD203" s="243"/>
      <c r="BE203" s="147"/>
      <c r="BF203" s="64"/>
    </row>
    <row r="204" spans="24:58" ht="18" customHeight="1" x14ac:dyDescent="0.2">
      <c r="X204" s="1171">
        <v>15</v>
      </c>
      <c r="Y204" s="903" t="s">
        <v>561</v>
      </c>
      <c r="Z204" s="903" t="s">
        <v>561</v>
      </c>
      <c r="AA204" s="903" t="s">
        <v>561</v>
      </c>
      <c r="AB204" s="903" t="s">
        <v>561</v>
      </c>
      <c r="AC204" s="163">
        <v>320</v>
      </c>
      <c r="AD204" s="163">
        <v>260</v>
      </c>
      <c r="AE204" s="904">
        <v>260</v>
      </c>
      <c r="AF204" s="124"/>
      <c r="AG204" s="79"/>
      <c r="AH204" s="79"/>
      <c r="AI204" s="1171">
        <v>15</v>
      </c>
      <c r="AJ204" s="903" t="s">
        <v>561</v>
      </c>
      <c r="AK204" s="903" t="s">
        <v>561</v>
      </c>
      <c r="AL204" s="903" t="s">
        <v>561</v>
      </c>
      <c r="AM204" s="903" t="s">
        <v>561</v>
      </c>
      <c r="AN204" s="163">
        <f t="shared" si="51"/>
        <v>3.5100000000000002</v>
      </c>
      <c r="AO204" s="163">
        <f t="shared" si="51"/>
        <v>2.21</v>
      </c>
      <c r="AP204" s="904">
        <f t="shared" si="51"/>
        <v>2.21</v>
      </c>
      <c r="AQ204" s="70"/>
      <c r="AR204" s="70"/>
      <c r="AS204" s="70"/>
      <c r="AT204" s="70"/>
      <c r="AU204" s="70"/>
      <c r="AV204" s="70"/>
      <c r="AW204" s="70"/>
      <c r="AX204" s="70"/>
      <c r="AY204" s="70"/>
      <c r="AZ204" s="70"/>
      <c r="BA204" s="70"/>
      <c r="BB204" s="70"/>
      <c r="BC204" s="70"/>
      <c r="BD204" s="243"/>
      <c r="BE204" s="147"/>
      <c r="BF204" s="64"/>
    </row>
    <row r="205" spans="24:58" ht="18" customHeight="1" x14ac:dyDescent="0.2">
      <c r="X205" s="280">
        <v>20</v>
      </c>
      <c r="Y205" s="905" t="s">
        <v>561</v>
      </c>
      <c r="Z205" s="905" t="s">
        <v>561</v>
      </c>
      <c r="AA205" s="905" t="s">
        <v>561</v>
      </c>
      <c r="AB205" s="905" t="s">
        <v>561</v>
      </c>
      <c r="AC205" s="905" t="s">
        <v>561</v>
      </c>
      <c r="AD205" s="906">
        <v>320</v>
      </c>
      <c r="AE205" s="907">
        <v>260</v>
      </c>
      <c r="AF205" s="124"/>
      <c r="AG205" s="79"/>
      <c r="AH205" s="79"/>
      <c r="AI205" s="280">
        <v>20</v>
      </c>
      <c r="AJ205" s="905" t="s">
        <v>561</v>
      </c>
      <c r="AK205" s="905" t="s">
        <v>561</v>
      </c>
      <c r="AL205" s="905" t="s">
        <v>561</v>
      </c>
      <c r="AM205" s="905" t="s">
        <v>561</v>
      </c>
      <c r="AN205" s="905" t="s">
        <v>561</v>
      </c>
      <c r="AO205" s="906">
        <f>((AO211/1000000)/$AS$181)*$AS$180</f>
        <v>2.86</v>
      </c>
      <c r="AP205" s="907">
        <f>((AP211/1000000)/$AS$181)*$AS$180</f>
        <v>2.21</v>
      </c>
      <c r="AQ205" s="70"/>
      <c r="AR205" s="70"/>
      <c r="AS205" s="70"/>
      <c r="AT205" s="70"/>
      <c r="AU205" s="70"/>
      <c r="AV205" s="70"/>
      <c r="AW205" s="70">
        <v>400</v>
      </c>
      <c r="AX205" s="70">
        <v>496</v>
      </c>
      <c r="AY205" s="70"/>
      <c r="AZ205" s="70"/>
      <c r="BA205" s="70"/>
      <c r="BB205" s="70"/>
      <c r="BC205" s="70"/>
      <c r="BD205" s="243"/>
      <c r="BE205" s="147"/>
      <c r="BF205" s="64"/>
    </row>
    <row r="206" spans="24:58" ht="18" customHeight="1" x14ac:dyDescent="0.2">
      <c r="X206" s="335"/>
      <c r="Y206" s="79"/>
      <c r="Z206" s="79"/>
      <c r="AA206" s="79"/>
      <c r="AB206" s="79"/>
      <c r="AC206" s="79"/>
      <c r="AD206" s="79"/>
      <c r="AE206" s="79"/>
      <c r="AF206" s="124"/>
      <c r="AG206" s="79"/>
      <c r="AH206" s="79"/>
      <c r="AI206" s="79"/>
      <c r="AJ206" s="79"/>
      <c r="AK206" s="79"/>
      <c r="AL206" s="79"/>
      <c r="AM206" s="79"/>
      <c r="AN206" s="79"/>
      <c r="AO206" s="79"/>
      <c r="AP206" s="70"/>
      <c r="AQ206" s="70"/>
      <c r="AR206" s="70"/>
      <c r="AS206" s="70"/>
      <c r="AT206" s="70"/>
      <c r="AU206" s="70"/>
      <c r="AV206" s="70"/>
      <c r="AW206" s="70">
        <v>320</v>
      </c>
      <c r="AX206" s="70">
        <v>580</v>
      </c>
      <c r="AY206" s="70"/>
      <c r="AZ206" s="70"/>
      <c r="BA206" s="70"/>
      <c r="BB206" s="70"/>
      <c r="BC206" s="70"/>
      <c r="BD206" s="243"/>
      <c r="BE206" s="147"/>
      <c r="BF206" s="64"/>
    </row>
    <row r="207" spans="24:58" ht="18" customHeight="1" x14ac:dyDescent="0.2">
      <c r="X207" s="278" t="s">
        <v>189</v>
      </c>
      <c r="Y207" s="302">
        <v>16</v>
      </c>
      <c r="Z207" s="302">
        <v>12.6</v>
      </c>
      <c r="AA207" s="302">
        <v>10.8</v>
      </c>
      <c r="AB207" s="302">
        <v>9</v>
      </c>
      <c r="AC207" s="302">
        <v>7.2</v>
      </c>
      <c r="AD207" s="302">
        <v>5.4</v>
      </c>
      <c r="AE207" s="303">
        <v>3.6</v>
      </c>
      <c r="AF207" s="124"/>
      <c r="AG207" s="79"/>
      <c r="AH207" s="79"/>
      <c r="AI207" s="278" t="s">
        <v>482</v>
      </c>
      <c r="AJ207" s="302">
        <v>16</v>
      </c>
      <c r="AK207" s="302">
        <v>12.6</v>
      </c>
      <c r="AL207" s="302">
        <v>10.8</v>
      </c>
      <c r="AM207" s="302">
        <v>9</v>
      </c>
      <c r="AN207" s="302">
        <v>7.2</v>
      </c>
      <c r="AO207" s="302">
        <v>5.4</v>
      </c>
      <c r="AP207" s="303">
        <v>3.6</v>
      </c>
      <c r="AQ207" s="70"/>
      <c r="AR207" s="70"/>
      <c r="AS207" s="70"/>
      <c r="AT207" s="70"/>
      <c r="AU207" s="70"/>
      <c r="AV207" s="70"/>
      <c r="AW207" s="70">
        <v>260</v>
      </c>
      <c r="AX207" s="70">
        <v>505</v>
      </c>
      <c r="AY207" s="70"/>
      <c r="AZ207" s="70"/>
      <c r="BA207" s="70"/>
      <c r="BB207" s="70"/>
      <c r="BC207" s="70"/>
      <c r="BD207" s="243"/>
      <c r="BE207" s="147"/>
      <c r="BF207" s="64"/>
    </row>
    <row r="208" spans="24:58" ht="18" customHeight="1" x14ac:dyDescent="0.2">
      <c r="X208" s="1171">
        <v>5</v>
      </c>
      <c r="Y208" s="903" t="s">
        <v>561</v>
      </c>
      <c r="Z208" s="163">
        <v>496</v>
      </c>
      <c r="AA208" s="163">
        <v>580</v>
      </c>
      <c r="AB208" s="163">
        <v>505</v>
      </c>
      <c r="AC208" s="163">
        <v>382</v>
      </c>
      <c r="AD208" s="163">
        <v>382</v>
      </c>
      <c r="AE208" s="904">
        <v>382</v>
      </c>
      <c r="AF208" s="124"/>
      <c r="AG208" s="79"/>
      <c r="AH208" s="79"/>
      <c r="AI208" s="1171">
        <v>5</v>
      </c>
      <c r="AJ208" s="903" t="s">
        <v>561</v>
      </c>
      <c r="AK208" s="163">
        <v>740</v>
      </c>
      <c r="AL208" s="163">
        <f>10*70+2*20</f>
        <v>740</v>
      </c>
      <c r="AM208" s="163">
        <f>6*70+6*20</f>
        <v>540</v>
      </c>
      <c r="AN208" s="163">
        <f>2*70+10*20</f>
        <v>340</v>
      </c>
      <c r="AO208" s="163">
        <v>300</v>
      </c>
      <c r="AP208" s="904">
        <f>2*70+8*20</f>
        <v>300</v>
      </c>
      <c r="AQ208" s="70"/>
      <c r="AR208" s="312" t="s">
        <v>2</v>
      </c>
      <c r="AS208" s="313">
        <v>7800</v>
      </c>
      <c r="AT208" s="314" t="s">
        <v>137</v>
      </c>
      <c r="AU208" s="70"/>
      <c r="AV208" s="70"/>
      <c r="AW208" s="70">
        <v>200</v>
      </c>
      <c r="AX208" s="70">
        <v>382</v>
      </c>
      <c r="AY208" s="70"/>
      <c r="AZ208" s="70"/>
      <c r="BA208" s="70"/>
      <c r="BB208" s="70"/>
      <c r="BC208" s="70"/>
      <c r="BD208" s="243"/>
      <c r="BE208" s="147"/>
      <c r="BF208" s="64"/>
    </row>
    <row r="209" spans="14:58" ht="18" customHeight="1" x14ac:dyDescent="0.2">
      <c r="X209" s="1171">
        <v>10</v>
      </c>
      <c r="Y209" s="903" t="s">
        <v>561</v>
      </c>
      <c r="Z209" s="903" t="s">
        <v>561</v>
      </c>
      <c r="AA209" s="903" t="s">
        <v>561</v>
      </c>
      <c r="AB209" s="903">
        <v>580</v>
      </c>
      <c r="AC209" s="163">
        <v>505</v>
      </c>
      <c r="AD209" s="163">
        <v>505</v>
      </c>
      <c r="AE209" s="904">
        <v>382</v>
      </c>
      <c r="AF209" s="124"/>
      <c r="AG209" s="79"/>
      <c r="AH209" s="79"/>
      <c r="AI209" s="1171">
        <v>10</v>
      </c>
      <c r="AJ209" s="903" t="s">
        <v>561</v>
      </c>
      <c r="AK209" s="903" t="s">
        <v>561</v>
      </c>
      <c r="AL209" s="903" t="s">
        <v>561</v>
      </c>
      <c r="AM209" s="903">
        <v>740</v>
      </c>
      <c r="AN209" s="163">
        <f>4*70+8*20</f>
        <v>440</v>
      </c>
      <c r="AO209" s="163">
        <f>2*70+10*20</f>
        <v>340</v>
      </c>
      <c r="AP209" s="904">
        <v>300</v>
      </c>
      <c r="AQ209" s="70"/>
      <c r="AR209" s="312" t="s">
        <v>190</v>
      </c>
      <c r="AS209" s="313">
        <v>1.2</v>
      </c>
      <c r="AT209" s="314" t="s">
        <v>17</v>
      </c>
      <c r="AU209" s="70"/>
      <c r="AV209" s="70"/>
      <c r="AW209" s="70"/>
      <c r="AX209" s="70"/>
      <c r="AY209" s="70"/>
      <c r="AZ209" s="70"/>
      <c r="BA209" s="70"/>
      <c r="BB209" s="70"/>
      <c r="BC209" s="70"/>
      <c r="BD209" s="243"/>
      <c r="BE209" s="147"/>
      <c r="BF209" s="64"/>
    </row>
    <row r="210" spans="14:58" ht="18" customHeight="1" x14ac:dyDescent="0.2">
      <c r="X210" s="1171">
        <v>15</v>
      </c>
      <c r="Y210" s="903" t="s">
        <v>561</v>
      </c>
      <c r="Z210" s="903" t="s">
        <v>561</v>
      </c>
      <c r="AA210" s="903" t="s">
        <v>561</v>
      </c>
      <c r="AB210" s="903" t="s">
        <v>561</v>
      </c>
      <c r="AC210" s="163">
        <v>580</v>
      </c>
      <c r="AD210" s="163">
        <v>505</v>
      </c>
      <c r="AE210" s="904">
        <v>505</v>
      </c>
      <c r="AF210" s="124"/>
      <c r="AG210" s="79"/>
      <c r="AH210" s="79"/>
      <c r="AI210" s="1171">
        <v>15</v>
      </c>
      <c r="AJ210" s="903" t="s">
        <v>561</v>
      </c>
      <c r="AK210" s="903" t="s">
        <v>561</v>
      </c>
      <c r="AL210" s="903" t="s">
        <v>561</v>
      </c>
      <c r="AM210" s="903" t="s">
        <v>561</v>
      </c>
      <c r="AN210" s="163">
        <f>6*70+6*20</f>
        <v>540</v>
      </c>
      <c r="AO210" s="163">
        <v>340</v>
      </c>
      <c r="AP210" s="904">
        <f>2*70+10*20</f>
        <v>340</v>
      </c>
      <c r="AQ210" s="70"/>
      <c r="AR210" s="64"/>
      <c r="AS210" s="64"/>
      <c r="AT210" s="64"/>
      <c r="AU210" s="70"/>
      <c r="AV210" s="70"/>
      <c r="AW210" s="70"/>
      <c r="AX210" s="70"/>
      <c r="AY210" s="70"/>
      <c r="AZ210" s="70"/>
      <c r="BA210" s="70"/>
      <c r="BB210" s="70"/>
      <c r="BC210" s="70"/>
      <c r="BD210" s="243"/>
      <c r="BE210" s="147"/>
      <c r="BF210" s="64"/>
    </row>
    <row r="211" spans="14:58" ht="18" customHeight="1" x14ac:dyDescent="0.2">
      <c r="X211" s="280">
        <v>20</v>
      </c>
      <c r="Y211" s="905" t="s">
        <v>561</v>
      </c>
      <c r="Z211" s="905" t="s">
        <v>561</v>
      </c>
      <c r="AA211" s="905" t="s">
        <v>561</v>
      </c>
      <c r="AB211" s="905" t="s">
        <v>561</v>
      </c>
      <c r="AC211" s="905" t="s">
        <v>561</v>
      </c>
      <c r="AD211" s="906">
        <v>580</v>
      </c>
      <c r="AE211" s="907">
        <v>505</v>
      </c>
      <c r="AF211" s="124"/>
      <c r="AG211" s="79"/>
      <c r="AH211" s="79"/>
      <c r="AI211" s="280">
        <v>20</v>
      </c>
      <c r="AJ211" s="905" t="s">
        <v>561</v>
      </c>
      <c r="AK211" s="905" t="s">
        <v>561</v>
      </c>
      <c r="AL211" s="905" t="s">
        <v>561</v>
      </c>
      <c r="AM211" s="905" t="s">
        <v>561</v>
      </c>
      <c r="AN211" s="905" t="s">
        <v>561</v>
      </c>
      <c r="AO211" s="906">
        <f>4*70+8*20</f>
        <v>440</v>
      </c>
      <c r="AP211" s="907">
        <v>340</v>
      </c>
      <c r="AQ211" s="70"/>
      <c r="AR211" s="70"/>
      <c r="AS211" s="70"/>
      <c r="AT211" s="70"/>
      <c r="AU211" s="70"/>
      <c r="AV211" s="70"/>
      <c r="AW211" s="70"/>
      <c r="AX211" s="70"/>
      <c r="AY211" s="70"/>
      <c r="AZ211" s="70"/>
      <c r="BA211" s="70"/>
      <c r="BB211" s="70"/>
      <c r="BC211" s="70"/>
      <c r="BD211" s="243"/>
      <c r="BE211" s="147"/>
      <c r="BF211" s="64"/>
    </row>
    <row r="212" spans="14:58" ht="18" customHeight="1" thickBot="1" x14ac:dyDescent="0.25">
      <c r="X212" s="335"/>
      <c r="Y212" s="79"/>
      <c r="Z212" s="79"/>
      <c r="AA212" s="79"/>
      <c r="AB212" s="79"/>
      <c r="AC212" s="79"/>
      <c r="AD212" s="79"/>
      <c r="AE212" s="124"/>
      <c r="AF212" s="124"/>
      <c r="AG212" s="79"/>
      <c r="AH212" s="79"/>
      <c r="AI212" s="79"/>
      <c r="AJ212" s="79"/>
      <c r="AK212" s="79"/>
      <c r="AL212" s="79"/>
      <c r="AM212" s="79"/>
      <c r="AN212" s="79"/>
      <c r="AO212" s="79"/>
      <c r="AP212" s="70"/>
      <c r="AQ212" s="70"/>
      <c r="AR212" s="70"/>
      <c r="AS212" s="70"/>
      <c r="AT212" s="70"/>
      <c r="AU212" s="70"/>
      <c r="AV212" s="70"/>
      <c r="AW212" s="70"/>
      <c r="AX212" s="70"/>
      <c r="AY212" s="70"/>
      <c r="AZ212" s="70"/>
      <c r="BA212" s="70"/>
      <c r="BB212" s="70"/>
      <c r="BC212" s="70"/>
      <c r="BD212" s="243"/>
      <c r="BE212" s="147"/>
      <c r="BF212" s="64"/>
    </row>
    <row r="213" spans="14:58" ht="18" customHeight="1" thickBot="1" x14ac:dyDescent="0.25">
      <c r="X213" s="254" t="s">
        <v>436</v>
      </c>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6"/>
      <c r="BE213" s="147"/>
      <c r="BF213" s="64"/>
    </row>
    <row r="214" spans="14:58" ht="18" customHeight="1" x14ac:dyDescent="0.2">
      <c r="X214" s="335"/>
      <c r="Y214" s="79"/>
      <c r="Z214" s="79"/>
      <c r="AA214" s="79"/>
      <c r="AB214" s="79"/>
      <c r="AC214" s="79"/>
      <c r="AD214" s="79"/>
      <c r="AE214" s="124"/>
      <c r="AF214" s="124"/>
      <c r="AG214" s="79"/>
      <c r="AH214" s="79"/>
      <c r="AI214" s="79"/>
      <c r="AJ214" s="79"/>
      <c r="AK214" s="79"/>
      <c r="AL214" s="79"/>
      <c r="AM214" s="79"/>
      <c r="AN214" s="79"/>
      <c r="AO214" s="79"/>
      <c r="AP214" s="70"/>
      <c r="AQ214" s="70"/>
      <c r="AR214" s="70"/>
      <c r="AS214" s="70"/>
      <c r="AT214" s="70"/>
      <c r="AU214" s="70"/>
      <c r="AV214" s="70"/>
      <c r="AW214" s="70"/>
      <c r="AX214" s="70"/>
      <c r="AY214" s="70"/>
      <c r="AZ214" s="70"/>
      <c r="BA214" s="70"/>
      <c r="BB214" s="70"/>
      <c r="BC214" s="70"/>
      <c r="BD214" s="243"/>
      <c r="BE214" s="147"/>
      <c r="BF214" s="64"/>
    </row>
    <row r="215" spans="14:58" ht="18" customHeight="1" x14ac:dyDescent="0.2">
      <c r="X215" s="278" t="s">
        <v>141</v>
      </c>
      <c r="Y215" s="301">
        <v>16</v>
      </c>
      <c r="Z215" s="302">
        <v>12.6</v>
      </c>
      <c r="AA215" s="302">
        <v>10.8</v>
      </c>
      <c r="AB215" s="302">
        <v>7.2</v>
      </c>
      <c r="AC215" s="302">
        <v>5.4</v>
      </c>
      <c r="AD215" s="303">
        <v>3.6</v>
      </c>
      <c r="AE215" s="124"/>
      <c r="AF215" s="124"/>
      <c r="AG215" s="79"/>
      <c r="AH215" s="79"/>
      <c r="AI215" s="278" t="s">
        <v>2</v>
      </c>
      <c r="AJ215" s="301">
        <v>16</v>
      </c>
      <c r="AK215" s="302">
        <v>12.6</v>
      </c>
      <c r="AL215" s="302">
        <v>10.8</v>
      </c>
      <c r="AM215" s="302">
        <v>7.2</v>
      </c>
      <c r="AN215" s="302">
        <v>5.4</v>
      </c>
      <c r="AO215" s="303">
        <v>3.6</v>
      </c>
      <c r="AP215" s="64"/>
      <c r="AQ215" s="70"/>
      <c r="AR215" s="70"/>
      <c r="AS215" s="70"/>
      <c r="AT215" s="70"/>
      <c r="AU215" s="70"/>
      <c r="AV215" s="70"/>
      <c r="AW215" s="70"/>
      <c r="AX215" s="70"/>
      <c r="AY215" s="70"/>
      <c r="AZ215" s="70"/>
      <c r="BA215" s="70"/>
      <c r="BB215" s="70"/>
      <c r="BC215" s="70"/>
      <c r="BD215" s="243"/>
      <c r="BE215" s="147"/>
      <c r="BF215" s="64"/>
    </row>
    <row r="216" spans="14:58" ht="18" customHeight="1" x14ac:dyDescent="0.2">
      <c r="X216" s="1171">
        <v>5</v>
      </c>
      <c r="Y216" s="304">
        <v>700</v>
      </c>
      <c r="Z216" s="305">
        <v>700</v>
      </c>
      <c r="AA216" s="305">
        <v>700</v>
      </c>
      <c r="AB216" s="305">
        <v>700</v>
      </c>
      <c r="AC216" s="305">
        <v>700</v>
      </c>
      <c r="AD216" s="306">
        <v>700</v>
      </c>
      <c r="AE216" s="124"/>
      <c r="AF216" s="124"/>
      <c r="AG216" s="79"/>
      <c r="AH216" s="79"/>
      <c r="AI216" s="1171">
        <v>5</v>
      </c>
      <c r="AJ216" s="304">
        <v>35</v>
      </c>
      <c r="AK216" s="305">
        <v>35</v>
      </c>
      <c r="AL216" s="305">
        <v>35</v>
      </c>
      <c r="AM216" s="305">
        <v>35</v>
      </c>
      <c r="AN216" s="305">
        <v>35</v>
      </c>
      <c r="AO216" s="306">
        <v>35</v>
      </c>
      <c r="AP216" s="64"/>
      <c r="AQ216" s="70"/>
      <c r="AR216" s="70"/>
      <c r="AS216" s="70"/>
      <c r="AT216" s="70"/>
      <c r="AU216" s="70"/>
      <c r="AV216" s="70"/>
      <c r="AW216" s="70"/>
      <c r="AX216" s="70"/>
      <c r="AY216" s="70"/>
      <c r="AZ216" s="70"/>
      <c r="BA216" s="70"/>
      <c r="BB216" s="70"/>
      <c r="BC216" s="70"/>
      <c r="BD216" s="243"/>
      <c r="BF216" s="64"/>
    </row>
    <row r="217" spans="14:58" ht="18" customHeight="1" x14ac:dyDescent="0.2">
      <c r="X217" s="1171">
        <v>10</v>
      </c>
      <c r="Y217" s="307">
        <v>700</v>
      </c>
      <c r="Z217" s="149">
        <v>700</v>
      </c>
      <c r="AA217" s="149">
        <v>700</v>
      </c>
      <c r="AB217" s="149">
        <v>700</v>
      </c>
      <c r="AC217" s="149">
        <v>700</v>
      </c>
      <c r="AD217" s="226">
        <v>700</v>
      </c>
      <c r="AE217" s="124"/>
      <c r="AF217" s="124"/>
      <c r="AG217" s="79"/>
      <c r="AH217" s="79"/>
      <c r="AI217" s="1171">
        <v>10</v>
      </c>
      <c r="AJ217" s="307">
        <v>35</v>
      </c>
      <c r="AK217" s="149">
        <v>35</v>
      </c>
      <c r="AL217" s="149">
        <v>35</v>
      </c>
      <c r="AM217" s="149">
        <v>35</v>
      </c>
      <c r="AN217" s="149">
        <v>35</v>
      </c>
      <c r="AO217" s="226">
        <v>35</v>
      </c>
      <c r="AP217" s="64"/>
      <c r="AQ217" s="70"/>
      <c r="AR217" s="70"/>
      <c r="AS217" s="70"/>
      <c r="AT217" s="70"/>
      <c r="AU217" s="70"/>
      <c r="AV217" s="70"/>
      <c r="AW217" s="70"/>
      <c r="AX217" s="70"/>
      <c r="AY217" s="70"/>
      <c r="AZ217" s="70"/>
      <c r="BA217" s="70"/>
      <c r="BB217" s="70"/>
      <c r="BC217" s="70"/>
      <c r="BD217" s="243"/>
      <c r="BE217" s="147"/>
      <c r="BF217" s="64"/>
    </row>
    <row r="218" spans="14:58" ht="18" customHeight="1" x14ac:dyDescent="0.2">
      <c r="X218" s="1171">
        <v>15</v>
      </c>
      <c r="Y218" s="307">
        <v>700</v>
      </c>
      <c r="Z218" s="149">
        <v>700</v>
      </c>
      <c r="AA218" s="149">
        <v>700</v>
      </c>
      <c r="AB218" s="149">
        <v>700</v>
      </c>
      <c r="AC218" s="149">
        <v>700</v>
      </c>
      <c r="AD218" s="226">
        <v>700</v>
      </c>
      <c r="AE218" s="124"/>
      <c r="AF218" s="124"/>
      <c r="AG218" s="79"/>
      <c r="AH218" s="79"/>
      <c r="AI218" s="1171">
        <v>15</v>
      </c>
      <c r="AJ218" s="307">
        <v>35</v>
      </c>
      <c r="AK218" s="149">
        <v>35</v>
      </c>
      <c r="AL218" s="149">
        <v>35</v>
      </c>
      <c r="AM218" s="149">
        <v>35</v>
      </c>
      <c r="AN218" s="149">
        <v>35</v>
      </c>
      <c r="AO218" s="226">
        <v>35</v>
      </c>
      <c r="AP218" s="64"/>
      <c r="AQ218" s="70"/>
      <c r="AR218" s="70"/>
      <c r="AS218" s="70"/>
      <c r="AT218" s="70"/>
      <c r="AU218" s="70"/>
      <c r="AV218" s="70"/>
      <c r="AW218" s="70"/>
      <c r="AX218" s="70"/>
      <c r="AY218" s="70"/>
      <c r="AZ218" s="70"/>
      <c r="BA218" s="70"/>
      <c r="BB218" s="70"/>
      <c r="BC218" s="70"/>
      <c r="BD218" s="243"/>
      <c r="BE218" s="147"/>
      <c r="BF218" s="64"/>
    </row>
    <row r="219" spans="14:58" ht="18" customHeight="1" x14ac:dyDescent="0.2">
      <c r="X219" s="280">
        <v>20</v>
      </c>
      <c r="Y219" s="308">
        <v>700</v>
      </c>
      <c r="Z219" s="227">
        <v>700</v>
      </c>
      <c r="AA219" s="227">
        <v>700</v>
      </c>
      <c r="AB219" s="227">
        <v>700</v>
      </c>
      <c r="AC219" s="227">
        <v>700</v>
      </c>
      <c r="AD219" s="228">
        <v>700</v>
      </c>
      <c r="AE219" s="124"/>
      <c r="AF219" s="124"/>
      <c r="AG219" s="79"/>
      <c r="AH219" s="79"/>
      <c r="AI219" s="280">
        <v>20</v>
      </c>
      <c r="AJ219" s="308">
        <v>35</v>
      </c>
      <c r="AK219" s="227">
        <v>35</v>
      </c>
      <c r="AL219" s="227">
        <v>35</v>
      </c>
      <c r="AM219" s="227">
        <v>35</v>
      </c>
      <c r="AN219" s="227">
        <v>35</v>
      </c>
      <c r="AO219" s="228">
        <v>35</v>
      </c>
      <c r="AP219" s="64"/>
      <c r="AQ219" s="70"/>
      <c r="AR219" s="70"/>
      <c r="AS219" s="70"/>
      <c r="AT219" s="70"/>
      <c r="AU219" s="70"/>
      <c r="AV219" s="70"/>
      <c r="AW219" s="70"/>
      <c r="AX219" s="70"/>
      <c r="AY219" s="70"/>
      <c r="AZ219" s="70"/>
      <c r="BA219" s="70"/>
      <c r="BB219" s="70"/>
      <c r="BC219" s="70"/>
      <c r="BD219" s="243"/>
      <c r="BE219" s="147"/>
      <c r="BF219" s="64"/>
    </row>
    <row r="220" spans="14:58" ht="18" customHeight="1" x14ac:dyDescent="0.2">
      <c r="N220" s="51"/>
      <c r="O220" s="51"/>
      <c r="P220" s="51"/>
      <c r="X220" s="335"/>
      <c r="Y220" s="79"/>
      <c r="Z220" s="79"/>
      <c r="AA220" s="79"/>
      <c r="AB220" s="79"/>
      <c r="AC220" s="79"/>
      <c r="AD220" s="79"/>
      <c r="AE220" s="124"/>
      <c r="AF220" s="124"/>
      <c r="AG220" s="79"/>
      <c r="AH220" s="79"/>
      <c r="AI220" s="79"/>
      <c r="AJ220" s="79"/>
      <c r="AK220" s="79"/>
      <c r="AL220" s="79"/>
      <c r="AM220" s="79"/>
      <c r="AN220" s="79"/>
      <c r="AO220" s="79"/>
      <c r="AP220" s="70"/>
      <c r="AQ220" s="70"/>
      <c r="AR220" s="70"/>
      <c r="AS220" s="64"/>
      <c r="AT220" s="64"/>
      <c r="AU220" s="64"/>
      <c r="AV220" s="64"/>
      <c r="AW220" s="70"/>
      <c r="AX220" s="70"/>
      <c r="AY220" s="70"/>
      <c r="AZ220" s="70"/>
      <c r="BA220" s="70"/>
      <c r="BB220" s="70"/>
      <c r="BC220" s="70"/>
      <c r="BD220" s="243"/>
      <c r="BE220" s="147"/>
      <c r="BF220" s="64"/>
    </row>
    <row r="221" spans="14:58" ht="18" customHeight="1" x14ac:dyDescent="0.2">
      <c r="N221" s="51"/>
      <c r="O221" s="51"/>
      <c r="P221" s="51"/>
      <c r="X221" s="278" t="s">
        <v>143</v>
      </c>
      <c r="Y221" s="301">
        <v>16</v>
      </c>
      <c r="Z221" s="302">
        <v>12.6</v>
      </c>
      <c r="AA221" s="302">
        <v>10.8</v>
      </c>
      <c r="AB221" s="302">
        <v>7.2</v>
      </c>
      <c r="AC221" s="302">
        <v>5.4</v>
      </c>
      <c r="AD221" s="303">
        <v>3.6</v>
      </c>
      <c r="AE221" s="124"/>
      <c r="AF221" s="124"/>
      <c r="AG221" s="79"/>
      <c r="AH221" s="79"/>
      <c r="AI221" s="79"/>
      <c r="AJ221" s="79"/>
      <c r="AK221" s="79"/>
      <c r="AL221" s="79"/>
      <c r="AM221" s="79"/>
      <c r="AN221" s="79"/>
      <c r="AO221" s="79"/>
      <c r="AP221" s="70"/>
      <c r="AQ221" s="70"/>
      <c r="AR221" s="70"/>
      <c r="AS221" s="64"/>
      <c r="AT221" s="64"/>
      <c r="AU221" s="64"/>
      <c r="AV221" s="64"/>
      <c r="AW221" s="70"/>
      <c r="AX221" s="70"/>
      <c r="AY221" s="70"/>
      <c r="AZ221" s="70"/>
      <c r="BA221" s="70"/>
      <c r="BB221" s="70"/>
      <c r="BC221" s="70"/>
      <c r="BD221" s="243"/>
      <c r="BE221" s="147"/>
      <c r="BF221" s="64"/>
    </row>
    <row r="222" spans="14:58" ht="18" customHeight="1" x14ac:dyDescent="0.2">
      <c r="N222" s="51"/>
      <c r="O222" s="51"/>
      <c r="P222" s="51"/>
      <c r="X222" s="1171">
        <v>5</v>
      </c>
      <c r="Y222" s="304">
        <f t="shared" ref="Y222:AA225" si="52">2*130*10^(-3)*$Y$227</f>
        <v>624</v>
      </c>
      <c r="Z222" s="305">
        <f t="shared" si="52"/>
        <v>624</v>
      </c>
      <c r="AA222" s="305">
        <f t="shared" si="52"/>
        <v>624</v>
      </c>
      <c r="AB222" s="305">
        <v>624</v>
      </c>
      <c r="AC222" s="305">
        <v>624</v>
      </c>
      <c r="AD222" s="306">
        <v>624</v>
      </c>
      <c r="AE222" s="124"/>
      <c r="AF222" s="124"/>
      <c r="AG222" s="79"/>
      <c r="AH222" s="79"/>
      <c r="AI222" s="79"/>
      <c r="AJ222" s="79"/>
      <c r="AK222" s="79"/>
      <c r="AL222" s="79"/>
      <c r="AM222" s="79"/>
      <c r="AN222" s="79"/>
      <c r="AO222" s="79"/>
      <c r="AP222" s="70"/>
      <c r="AQ222" s="70"/>
      <c r="AR222" s="70"/>
      <c r="AS222" s="64"/>
      <c r="AT222" s="64"/>
      <c r="AU222" s="64"/>
      <c r="AV222" s="64"/>
      <c r="AW222" s="70"/>
      <c r="AX222" s="70"/>
      <c r="AY222" s="70"/>
      <c r="AZ222" s="70"/>
      <c r="BA222" s="70"/>
      <c r="BB222" s="70"/>
      <c r="BC222" s="70"/>
      <c r="BD222" s="243"/>
      <c r="BE222" s="147"/>
      <c r="BF222" s="64"/>
    </row>
    <row r="223" spans="14:58" ht="18" customHeight="1" x14ac:dyDescent="0.2">
      <c r="N223" s="51"/>
      <c r="O223" s="51"/>
      <c r="P223" s="51"/>
      <c r="X223" s="1171">
        <v>10</v>
      </c>
      <c r="Y223" s="307">
        <f t="shared" si="52"/>
        <v>624</v>
      </c>
      <c r="Z223" s="149">
        <f t="shared" si="52"/>
        <v>624</v>
      </c>
      <c r="AA223" s="149">
        <f t="shared" si="52"/>
        <v>624</v>
      </c>
      <c r="AB223" s="149">
        <v>624</v>
      </c>
      <c r="AC223" s="149">
        <v>624</v>
      </c>
      <c r="AD223" s="226">
        <v>624</v>
      </c>
      <c r="AE223" s="124"/>
      <c r="AF223" s="124"/>
      <c r="AG223" s="79"/>
      <c r="AH223" s="79"/>
      <c r="AI223" s="79"/>
      <c r="AJ223" s="79"/>
      <c r="AK223" s="79"/>
      <c r="AL223" s="79"/>
      <c r="AM223" s="79"/>
      <c r="AN223" s="79"/>
      <c r="AO223" s="79"/>
      <c r="AP223" s="70"/>
      <c r="AQ223" s="70"/>
      <c r="AR223" s="70"/>
      <c r="AS223" s="70"/>
      <c r="AT223" s="70"/>
      <c r="AU223" s="70"/>
      <c r="AV223" s="70"/>
      <c r="AW223" s="70"/>
      <c r="AX223" s="70"/>
      <c r="AY223" s="70"/>
      <c r="AZ223" s="70"/>
      <c r="BA223" s="70"/>
      <c r="BB223" s="70"/>
      <c r="BC223" s="70"/>
      <c r="BD223" s="243"/>
      <c r="BE223" s="147"/>
      <c r="BF223" s="64"/>
    </row>
    <row r="224" spans="14:58" ht="18" customHeight="1" x14ac:dyDescent="0.2">
      <c r="N224" s="51"/>
      <c r="O224" s="51"/>
      <c r="P224" s="51"/>
      <c r="X224" s="1171">
        <v>15</v>
      </c>
      <c r="Y224" s="307">
        <f t="shared" si="52"/>
        <v>624</v>
      </c>
      <c r="Z224" s="149">
        <f t="shared" si="52"/>
        <v>624</v>
      </c>
      <c r="AA224" s="149">
        <f t="shared" si="52"/>
        <v>624</v>
      </c>
      <c r="AB224" s="149">
        <v>624</v>
      </c>
      <c r="AC224" s="149">
        <v>624</v>
      </c>
      <c r="AD224" s="226">
        <v>624</v>
      </c>
      <c r="AE224" s="124"/>
      <c r="AF224" s="124"/>
      <c r="AG224" s="79"/>
      <c r="AH224" s="79"/>
      <c r="AI224" s="79"/>
      <c r="AJ224" s="79"/>
      <c r="AK224" s="79"/>
      <c r="AL224" s="79"/>
      <c r="AM224" s="79"/>
      <c r="AN224" s="79"/>
      <c r="AO224" s="79"/>
      <c r="AP224" s="70"/>
      <c r="AQ224" s="70"/>
      <c r="AR224" s="70"/>
      <c r="AS224" s="70"/>
      <c r="AT224" s="70"/>
      <c r="AU224" s="70"/>
      <c r="AV224" s="70"/>
      <c r="AW224" s="70"/>
      <c r="AX224" s="70"/>
      <c r="AY224" s="70"/>
      <c r="AZ224" s="70"/>
      <c r="BA224" s="70"/>
      <c r="BB224" s="70"/>
      <c r="BC224" s="70"/>
      <c r="BD224" s="243"/>
      <c r="BE224" s="147"/>
      <c r="BF224" s="64"/>
    </row>
    <row r="225" spans="14:58" ht="18" customHeight="1" x14ac:dyDescent="0.2">
      <c r="N225" s="51"/>
      <c r="O225" s="51"/>
      <c r="P225" s="51"/>
      <c r="X225" s="280">
        <v>20</v>
      </c>
      <c r="Y225" s="308">
        <f t="shared" si="52"/>
        <v>624</v>
      </c>
      <c r="Z225" s="227">
        <f t="shared" si="52"/>
        <v>624</v>
      </c>
      <c r="AA225" s="227">
        <f t="shared" si="52"/>
        <v>624</v>
      </c>
      <c r="AB225" s="227">
        <v>624</v>
      </c>
      <c r="AC225" s="227">
        <v>624</v>
      </c>
      <c r="AD225" s="228">
        <v>624</v>
      </c>
      <c r="AE225" s="124"/>
      <c r="AF225" s="124"/>
      <c r="AG225" s="79"/>
      <c r="AH225" s="79"/>
      <c r="AI225" s="79"/>
      <c r="AJ225" s="79"/>
      <c r="AK225" s="79"/>
      <c r="AL225" s="79"/>
      <c r="AM225" s="79"/>
      <c r="AN225" s="79"/>
      <c r="AO225" s="79"/>
      <c r="AP225" s="70"/>
      <c r="AQ225" s="70"/>
      <c r="AR225" s="70"/>
      <c r="AS225" s="70"/>
      <c r="AT225" s="70"/>
      <c r="AU225" s="70"/>
      <c r="AV225" s="70"/>
      <c r="AW225" s="70"/>
      <c r="AX225" s="70"/>
      <c r="AY225" s="70"/>
      <c r="AZ225" s="70"/>
      <c r="BA225" s="70"/>
      <c r="BB225" s="70"/>
      <c r="BC225" s="70"/>
      <c r="BD225" s="243"/>
      <c r="BE225" s="147"/>
      <c r="BF225" s="64"/>
    </row>
    <row r="226" spans="14:58" ht="18" customHeight="1" x14ac:dyDescent="0.2">
      <c r="N226" s="51"/>
      <c r="O226" s="51"/>
      <c r="P226" s="51"/>
      <c r="X226" s="335"/>
      <c r="Y226" s="79"/>
      <c r="Z226" s="79"/>
      <c r="AA226" s="79"/>
      <c r="AB226" s="79"/>
      <c r="AC226" s="79"/>
      <c r="AD226" s="79"/>
      <c r="AE226" s="124"/>
      <c r="AF226" s="124"/>
      <c r="AG226" s="79"/>
      <c r="AH226" s="79"/>
      <c r="AI226" s="79"/>
      <c r="AJ226" s="79"/>
      <c r="AK226" s="79"/>
      <c r="AL226" s="79"/>
      <c r="AM226" s="79"/>
      <c r="AN226" s="79"/>
      <c r="AO226" s="79"/>
      <c r="AP226" s="70"/>
      <c r="AQ226" s="70"/>
      <c r="AR226" s="70"/>
      <c r="AS226" s="70"/>
      <c r="AT226" s="70"/>
      <c r="AU226" s="70"/>
      <c r="AV226" s="70"/>
      <c r="AW226" s="70"/>
      <c r="AX226" s="70"/>
      <c r="AY226" s="70"/>
      <c r="AZ226" s="70"/>
      <c r="BA226" s="70"/>
      <c r="BB226" s="70"/>
      <c r="BC226" s="70"/>
      <c r="BD226" s="243"/>
      <c r="BE226" s="147"/>
      <c r="BF226" s="64"/>
    </row>
    <row r="227" spans="14:58" ht="18" customHeight="1" x14ac:dyDescent="0.2">
      <c r="N227" s="51"/>
      <c r="O227" s="51"/>
      <c r="P227" s="51"/>
      <c r="X227" s="312" t="s">
        <v>0</v>
      </c>
      <c r="Y227" s="313">
        <v>2400</v>
      </c>
      <c r="Z227" s="314" t="s">
        <v>137</v>
      </c>
      <c r="AA227" s="79"/>
      <c r="AB227" s="79"/>
      <c r="AC227" s="79"/>
      <c r="AD227" s="79"/>
      <c r="AE227" s="124"/>
      <c r="AF227" s="124"/>
      <c r="AG227" s="79"/>
      <c r="AH227" s="79"/>
      <c r="AI227" s="79"/>
      <c r="AJ227" s="79"/>
      <c r="AK227" s="79"/>
      <c r="AL227" s="79"/>
      <c r="AM227" s="79"/>
      <c r="AN227" s="79"/>
      <c r="AO227" s="79"/>
      <c r="AP227" s="70"/>
      <c r="AQ227" s="70"/>
      <c r="AR227" s="70"/>
      <c r="AS227" s="70"/>
      <c r="AT227" s="70"/>
      <c r="AU227" s="70"/>
      <c r="AV227" s="70"/>
      <c r="AW227" s="70"/>
      <c r="AX227" s="70"/>
      <c r="AY227" s="70"/>
      <c r="AZ227" s="70"/>
      <c r="BA227" s="70"/>
      <c r="BB227" s="70"/>
      <c r="BC227" s="70"/>
      <c r="BD227" s="243"/>
      <c r="BF227" s="64"/>
    </row>
    <row r="228" spans="14:58" ht="18" customHeight="1" thickBot="1" x14ac:dyDescent="0.25">
      <c r="N228" s="51"/>
      <c r="O228" s="51"/>
      <c r="P228" s="51"/>
      <c r="X228" s="335"/>
      <c r="Y228" s="79"/>
      <c r="Z228" s="79"/>
      <c r="AA228" s="79"/>
      <c r="AB228" s="79"/>
      <c r="AC228" s="79"/>
      <c r="AD228" s="79"/>
      <c r="AE228" s="124"/>
      <c r="AF228" s="124"/>
      <c r="AG228" s="79"/>
      <c r="AH228" s="79"/>
      <c r="AI228" s="79"/>
      <c r="AJ228" s="79"/>
      <c r="AK228" s="79"/>
      <c r="AL228" s="79"/>
      <c r="AM228" s="79"/>
      <c r="AN228" s="79"/>
      <c r="AO228" s="79"/>
      <c r="AP228" s="70"/>
      <c r="AQ228" s="70"/>
      <c r="AR228" s="70"/>
      <c r="AS228" s="70"/>
      <c r="AT228" s="70"/>
      <c r="AU228" s="70"/>
      <c r="AV228" s="70"/>
      <c r="AW228" s="70"/>
      <c r="AX228" s="70"/>
      <c r="AY228" s="70"/>
      <c r="AZ228" s="70"/>
      <c r="BA228" s="70"/>
      <c r="BB228" s="70"/>
      <c r="BC228" s="70"/>
      <c r="BD228" s="243"/>
      <c r="BE228" s="147"/>
      <c r="BF228" s="64"/>
    </row>
    <row r="229" spans="14:58" ht="18" customHeight="1" thickBot="1" x14ac:dyDescent="0.25">
      <c r="N229" s="51"/>
      <c r="O229" s="51"/>
      <c r="P229" s="51"/>
      <c r="X229" s="1232" t="s">
        <v>39</v>
      </c>
      <c r="Y229" s="1233"/>
      <c r="Z229" s="1233"/>
      <c r="AA229" s="1233"/>
      <c r="AB229" s="1233"/>
      <c r="AC229" s="1233"/>
      <c r="AD229" s="1233"/>
      <c r="AE229" s="1233"/>
      <c r="AF229" s="1233"/>
      <c r="AG229" s="1233"/>
      <c r="AH229" s="1233"/>
      <c r="AI229" s="1233"/>
      <c r="AJ229" s="1233"/>
      <c r="AK229" s="1233"/>
      <c r="AL229" s="1233"/>
      <c r="AM229" s="1233"/>
      <c r="AN229" s="1233"/>
      <c r="AO229" s="1233"/>
      <c r="AP229" s="1233"/>
      <c r="AQ229" s="1233"/>
      <c r="AR229" s="1233"/>
      <c r="AS229" s="1233"/>
      <c r="AT229" s="1233"/>
      <c r="AU229" s="1233"/>
      <c r="AV229" s="1233"/>
      <c r="AW229" s="1233"/>
      <c r="AX229" s="1233"/>
      <c r="AY229" s="1233"/>
      <c r="AZ229" s="1233"/>
      <c r="BA229" s="1233"/>
      <c r="BB229" s="1233"/>
      <c r="BC229" s="1233"/>
      <c r="BD229" s="1234"/>
      <c r="BE229" s="147"/>
      <c r="BF229" s="64"/>
    </row>
    <row r="230" spans="14:58" ht="18" customHeight="1" x14ac:dyDescent="0.2">
      <c r="N230" s="51"/>
      <c r="O230" s="51"/>
      <c r="P230" s="51"/>
      <c r="X230" s="335"/>
      <c r="Y230" s="79"/>
      <c r="Z230" s="79"/>
      <c r="AA230" s="79"/>
      <c r="AB230" s="79"/>
      <c r="AC230" s="79"/>
      <c r="AD230" s="79"/>
      <c r="AE230" s="124"/>
      <c r="AF230" s="124"/>
      <c r="AG230" s="79"/>
      <c r="AH230" s="79"/>
      <c r="AI230" s="79"/>
      <c r="AJ230" s="79"/>
      <c r="AK230" s="79"/>
      <c r="AL230" s="79"/>
      <c r="AM230" s="79"/>
      <c r="AN230" s="79"/>
      <c r="AO230" s="79"/>
      <c r="AP230" s="1235"/>
      <c r="AQ230" s="1235"/>
      <c r="AR230" s="1235"/>
      <c r="AS230" s="1235"/>
      <c r="AT230" s="1235"/>
      <c r="AU230" s="1235"/>
      <c r="AV230" s="1235"/>
      <c r="AW230" s="1235"/>
      <c r="AX230" s="1235"/>
      <c r="AY230" s="1235"/>
      <c r="AZ230" s="1235"/>
      <c r="BA230" s="1235"/>
      <c r="BB230" s="1235"/>
      <c r="BC230" s="1235"/>
      <c r="BD230" s="1236"/>
      <c r="BE230" s="147"/>
      <c r="BF230" s="64"/>
    </row>
    <row r="231" spans="14:58" ht="18" customHeight="1" x14ac:dyDescent="0.2">
      <c r="N231" s="51"/>
      <c r="O231" s="51"/>
      <c r="P231" s="51"/>
      <c r="X231" s="278" t="s">
        <v>141</v>
      </c>
      <c r="Y231" s="301">
        <v>16</v>
      </c>
      <c r="Z231" s="302">
        <v>12.6</v>
      </c>
      <c r="AA231" s="302">
        <v>10.8</v>
      </c>
      <c r="AB231" s="302">
        <v>7.2</v>
      </c>
      <c r="AC231" s="302">
        <v>5.4</v>
      </c>
      <c r="AD231" s="303">
        <v>3.6</v>
      </c>
      <c r="AE231" s="124"/>
      <c r="AF231" s="124"/>
      <c r="AG231" s="79"/>
      <c r="AH231" s="79"/>
      <c r="AI231" s="278" t="s">
        <v>1242</v>
      </c>
      <c r="AJ231" s="1164">
        <v>16</v>
      </c>
      <c r="AK231" s="1165">
        <v>12.6</v>
      </c>
      <c r="AL231" s="1165">
        <v>10.8</v>
      </c>
      <c r="AM231" s="1165">
        <v>7.2</v>
      </c>
      <c r="AN231" s="1165">
        <v>5.4</v>
      </c>
      <c r="AO231" s="1166">
        <v>3.6</v>
      </c>
      <c r="AP231" s="1235"/>
      <c r="AQ231" s="1235"/>
      <c r="AR231" s="1235"/>
      <c r="AS231" s="1235"/>
      <c r="AT231" s="1235"/>
      <c r="AU231" s="1235"/>
      <c r="AV231" s="1235"/>
      <c r="AW231" s="1235"/>
      <c r="AX231" s="1235"/>
      <c r="AY231" s="1235"/>
      <c r="AZ231" s="1235"/>
      <c r="BA231" s="1235"/>
      <c r="BB231" s="1235"/>
      <c r="BC231" s="1235"/>
      <c r="BD231" s="1236"/>
      <c r="BE231" s="147"/>
      <c r="BF231" s="64"/>
    </row>
    <row r="232" spans="14:58" ht="18" customHeight="1" x14ac:dyDescent="0.2">
      <c r="N232" s="51"/>
      <c r="O232" s="51"/>
      <c r="P232" s="51"/>
      <c r="X232" s="1847">
        <v>0</v>
      </c>
      <c r="Y232" s="1430" t="s">
        <v>561</v>
      </c>
      <c r="Z232" s="50">
        <v>350</v>
      </c>
      <c r="AA232" s="50">
        <v>300</v>
      </c>
      <c r="AB232" s="50">
        <v>250</v>
      </c>
      <c r="AC232" s="50">
        <v>200</v>
      </c>
      <c r="AD232" s="1213">
        <v>150</v>
      </c>
      <c r="AE232" s="124"/>
      <c r="AF232" s="124"/>
      <c r="AG232" s="79"/>
      <c r="AH232" s="79"/>
      <c r="AI232" s="1846">
        <v>0</v>
      </c>
      <c r="AJ232" s="1841" t="s">
        <v>561</v>
      </c>
      <c r="AK232" s="1844">
        <f>AK239*Z232/1000</f>
        <v>21</v>
      </c>
      <c r="AL232" s="1844">
        <f t="shared" ref="AL232:AO232" si="53">AL239*AA232/1000</f>
        <v>18</v>
      </c>
      <c r="AM232" s="1844">
        <f t="shared" si="53"/>
        <v>10</v>
      </c>
      <c r="AN232" s="1844">
        <f t="shared" si="53"/>
        <v>8</v>
      </c>
      <c r="AO232" s="1844">
        <f t="shared" si="53"/>
        <v>6</v>
      </c>
      <c r="AP232" s="1843"/>
      <c r="AQ232" s="1235"/>
      <c r="AR232" s="1237"/>
      <c r="AS232" s="1237"/>
      <c r="AT232" s="1237"/>
      <c r="AU232" s="1237"/>
      <c r="AV232" s="1237"/>
      <c r="AW232" s="1237"/>
      <c r="AX232" s="1237"/>
      <c r="AY232" s="1237"/>
      <c r="AZ232" s="1235"/>
      <c r="BA232" s="1235"/>
      <c r="BB232" s="1235"/>
      <c r="BC232" s="1235"/>
      <c r="BD232" s="1236"/>
      <c r="BE232" s="147"/>
      <c r="BF232" s="64"/>
    </row>
    <row r="233" spans="14:58" ht="18" customHeight="1" x14ac:dyDescent="0.2">
      <c r="N233" s="51"/>
      <c r="O233" s="51"/>
      <c r="P233" s="51"/>
      <c r="X233" s="1148">
        <v>5</v>
      </c>
      <c r="Y233" s="694" t="s">
        <v>561</v>
      </c>
      <c r="Z233" s="695">
        <v>400</v>
      </c>
      <c r="AA233" s="903">
        <v>350</v>
      </c>
      <c r="AB233" s="903">
        <v>300</v>
      </c>
      <c r="AC233" s="903">
        <v>250</v>
      </c>
      <c r="AD233" s="1169">
        <v>200</v>
      </c>
      <c r="AE233" s="124"/>
      <c r="AF233" s="124"/>
      <c r="AG233" s="329"/>
      <c r="AH233" s="79"/>
      <c r="AI233" s="1171">
        <v>5</v>
      </c>
      <c r="AJ233" s="1239" t="str">
        <f>IF(AJ240="kan niet","kan niet",VLOOKUP(AJ245,$AV$239:$AX$242,2,0)+VLOOKUP(AJ240,$AV$239:$AX$242,2,0))</f>
        <v>kan niet</v>
      </c>
      <c r="AK233" s="1833">
        <f t="shared" ref="AK233:AK234" si="54">AK240*Z233/1000</f>
        <v>36</v>
      </c>
      <c r="AL233" s="1833">
        <f t="shared" ref="AL233:AL234" si="55">AL240*AA233/1000</f>
        <v>31.5</v>
      </c>
      <c r="AM233" s="1833">
        <f t="shared" ref="AM233:AM234" si="56">AM240*AB233/1000</f>
        <v>18</v>
      </c>
      <c r="AN233" s="1833">
        <f t="shared" ref="AN233:AN234" si="57">AN240*AC233/1000</f>
        <v>15</v>
      </c>
      <c r="AO233" s="1833">
        <f t="shared" ref="AO233:AO234" si="58">AO240*AD233/1000</f>
        <v>12</v>
      </c>
      <c r="AP233" s="1843"/>
      <c r="AQ233" s="1235"/>
      <c r="AR233" s="1237"/>
      <c r="AS233" s="1237"/>
      <c r="AT233" s="1237"/>
      <c r="AU233" s="1237"/>
      <c r="AV233" s="1237"/>
      <c r="AW233" s="1237"/>
      <c r="AX233" s="1237"/>
      <c r="AY233" s="1237"/>
      <c r="AZ233" s="1235"/>
      <c r="BA233" s="1235"/>
      <c r="BB233" s="1235"/>
      <c r="BC233" s="1235"/>
      <c r="BD233" s="1236"/>
      <c r="BE233" s="147"/>
      <c r="BF233" s="64"/>
    </row>
    <row r="234" spans="14:58" ht="18" customHeight="1" x14ac:dyDescent="0.2">
      <c r="N234" s="51"/>
      <c r="O234" s="51"/>
      <c r="P234" s="51"/>
      <c r="X234" s="1171">
        <v>10</v>
      </c>
      <c r="Y234" s="694" t="s">
        <v>561</v>
      </c>
      <c r="Z234" s="695">
        <v>450</v>
      </c>
      <c r="AA234" s="903">
        <v>400</v>
      </c>
      <c r="AB234" s="903">
        <v>350</v>
      </c>
      <c r="AC234" s="903">
        <v>300</v>
      </c>
      <c r="AD234" s="1169">
        <v>250</v>
      </c>
      <c r="AE234" s="124"/>
      <c r="AF234" s="124"/>
      <c r="AG234" s="79"/>
      <c r="AH234" s="79"/>
      <c r="AI234" s="1171">
        <v>10</v>
      </c>
      <c r="AJ234" s="1239" t="str">
        <f>IF(AJ241="kan niet","kan niet",VLOOKUP(AJ246,$AV$239:$AX$242,2,0)+VLOOKUP(AJ241,$AV$239:$AX$242,2,0))</f>
        <v>kan niet</v>
      </c>
      <c r="AK234" s="1833">
        <f t="shared" si="54"/>
        <v>54</v>
      </c>
      <c r="AL234" s="1833">
        <f t="shared" si="55"/>
        <v>48</v>
      </c>
      <c r="AM234" s="1833">
        <f t="shared" si="56"/>
        <v>31.5</v>
      </c>
      <c r="AN234" s="1833">
        <f t="shared" si="57"/>
        <v>27</v>
      </c>
      <c r="AO234" s="1833">
        <f t="shared" si="58"/>
        <v>22.5</v>
      </c>
      <c r="AP234" s="1843"/>
      <c r="AQ234" s="1235"/>
      <c r="AR234" s="1237"/>
      <c r="AS234" s="1237"/>
      <c r="AT234" s="1237"/>
      <c r="AU234" s="1237"/>
      <c r="AV234" s="1237"/>
      <c r="AW234" s="1237"/>
      <c r="AX234" s="1237"/>
      <c r="AY234" s="1237"/>
      <c r="AZ234" s="1235"/>
      <c r="BA234" s="1235"/>
      <c r="BB234" s="1235"/>
      <c r="BC234" s="1235"/>
      <c r="BD234" s="1236"/>
      <c r="BE234" s="147"/>
      <c r="BF234" s="64"/>
    </row>
    <row r="235" spans="14:58" ht="18" customHeight="1" x14ac:dyDescent="0.2">
      <c r="N235" s="51"/>
      <c r="O235" s="51"/>
      <c r="P235" s="51"/>
      <c r="X235" s="1171">
        <v>15</v>
      </c>
      <c r="Y235" s="1167" t="s">
        <v>561</v>
      </c>
      <c r="Z235" s="903" t="s">
        <v>561</v>
      </c>
      <c r="AA235" s="903" t="s">
        <v>561</v>
      </c>
      <c r="AB235" s="903" t="s">
        <v>561</v>
      </c>
      <c r="AC235" s="903" t="s">
        <v>561</v>
      </c>
      <c r="AD235" s="1169" t="s">
        <v>561</v>
      </c>
      <c r="AE235" s="124"/>
      <c r="AF235" s="124"/>
      <c r="AG235" s="79"/>
      <c r="AH235" s="79"/>
      <c r="AI235" s="1171">
        <v>15</v>
      </c>
      <c r="AJ235" s="1239" t="str">
        <f>IF(AJ242="kan niet","kan niet",VLOOKUP(AJ247,$AV$239:$AX$242,2,0)+VLOOKUP(AJ242,$AV$239:$AX$242,2,0))</f>
        <v>kan niet</v>
      </c>
      <c r="AK235" s="1240" t="str">
        <f t="shared" ref="AK235:AO236" si="59">IF(AK242="kan niet","kan niet",VLOOKUP(AK247,$AV$239:$AX$242,2,0)+VLOOKUP(AK242,$AV$239:$AX$242,2,0))</f>
        <v>kan niet</v>
      </c>
      <c r="AL235" s="1240" t="str">
        <f t="shared" si="59"/>
        <v>kan niet</v>
      </c>
      <c r="AM235" s="1240" t="str">
        <f t="shared" si="59"/>
        <v>kan niet</v>
      </c>
      <c r="AN235" s="1240" t="str">
        <f t="shared" si="59"/>
        <v>kan niet</v>
      </c>
      <c r="AO235" s="1241" t="str">
        <f t="shared" si="59"/>
        <v>kan niet</v>
      </c>
      <c r="AP235" s="1235"/>
      <c r="AQ235" s="1235"/>
      <c r="AR235" s="1237"/>
      <c r="AS235" s="1237"/>
      <c r="AT235" s="1237"/>
      <c r="AU235" s="1237"/>
      <c r="AV235" s="1237"/>
      <c r="AW235" s="1237"/>
      <c r="AX235" s="1237"/>
      <c r="AY235" s="1237"/>
      <c r="AZ235" s="1235"/>
      <c r="BA235" s="1235"/>
      <c r="BB235" s="1235"/>
      <c r="BC235" s="1235"/>
      <c r="BD235" s="1236"/>
      <c r="BE235" s="147"/>
      <c r="BF235" s="64"/>
    </row>
    <row r="236" spans="14:58" ht="18" customHeight="1" x14ac:dyDescent="0.2">
      <c r="N236" s="51"/>
      <c r="O236" s="51"/>
      <c r="P236" s="51"/>
      <c r="X236" s="280">
        <v>20</v>
      </c>
      <c r="Y236" s="1168" t="s">
        <v>561</v>
      </c>
      <c r="Z236" s="905" t="s">
        <v>561</v>
      </c>
      <c r="AA236" s="905" t="s">
        <v>561</v>
      </c>
      <c r="AB236" s="905" t="s">
        <v>561</v>
      </c>
      <c r="AC236" s="905" t="s">
        <v>561</v>
      </c>
      <c r="AD236" s="1170" t="s">
        <v>561</v>
      </c>
      <c r="AE236" s="124"/>
      <c r="AF236" s="124"/>
      <c r="AG236" s="79"/>
      <c r="AH236" s="79"/>
      <c r="AI236" s="280">
        <v>20</v>
      </c>
      <c r="AJ236" s="1242" t="str">
        <f>IF(AJ243="kan niet","kan niet",VLOOKUP(AJ248,$AV$239:$AX$242,2,0)+VLOOKUP(AJ243,$AV$239:$AX$242,2,0))</f>
        <v>kan niet</v>
      </c>
      <c r="AK236" s="1243" t="str">
        <f t="shared" si="59"/>
        <v>kan niet</v>
      </c>
      <c r="AL236" s="1243" t="str">
        <f t="shared" si="59"/>
        <v>kan niet</v>
      </c>
      <c r="AM236" s="1243" t="str">
        <f t="shared" si="59"/>
        <v>kan niet</v>
      </c>
      <c r="AN236" s="1243" t="str">
        <f t="shared" si="59"/>
        <v>kan niet</v>
      </c>
      <c r="AO236" s="1244" t="str">
        <f t="shared" si="59"/>
        <v>kan niet</v>
      </c>
      <c r="AP236" s="1235"/>
      <c r="AQ236" s="1235"/>
      <c r="AR236" s="1237"/>
      <c r="AS236" s="1237"/>
      <c r="AT236" s="1237"/>
      <c r="AU236" s="1237"/>
      <c r="AV236" s="1237"/>
      <c r="AW236" s="1237"/>
      <c r="AX236" s="1237"/>
      <c r="AY236" s="1237"/>
      <c r="AZ236" s="1235"/>
      <c r="BA236" s="1235"/>
      <c r="BB236" s="1235"/>
      <c r="BC236" s="1235"/>
      <c r="BD236" s="1236"/>
      <c r="BE236" s="147"/>
      <c r="BF236" s="64"/>
    </row>
    <row r="237" spans="14:58" ht="18" customHeight="1" x14ac:dyDescent="0.2">
      <c r="N237" s="51"/>
      <c r="O237" s="51"/>
      <c r="P237" s="51"/>
      <c r="X237" s="335"/>
      <c r="Y237" s="166" t="s">
        <v>67</v>
      </c>
      <c r="Z237" s="166"/>
      <c r="AA237" s="166"/>
      <c r="AB237" s="166"/>
      <c r="AC237" s="166"/>
      <c r="AD237" s="166"/>
      <c r="AE237" s="124"/>
      <c r="AF237" s="124"/>
      <c r="AG237" s="79"/>
      <c r="AH237" s="79"/>
      <c r="AI237" s="79"/>
      <c r="AJ237" s="79"/>
      <c r="AK237" s="79"/>
      <c r="AL237" s="79"/>
      <c r="AM237" s="79"/>
      <c r="AN237" s="79"/>
      <c r="AO237" s="79"/>
      <c r="AP237" s="1235"/>
      <c r="AQ237" s="1235"/>
      <c r="AR237" s="1235"/>
      <c r="AS237" s="1235"/>
      <c r="AT237" s="1235"/>
      <c r="AU237" s="1235"/>
      <c r="AV237" s="1235"/>
      <c r="AW237" s="1235"/>
      <c r="AX237" s="1235"/>
      <c r="AY237" s="1235"/>
      <c r="AZ237" s="1235"/>
      <c r="BA237" s="1235"/>
      <c r="BB237" s="1235"/>
      <c r="BC237" s="1235"/>
      <c r="BD237" s="1236"/>
      <c r="BE237" s="147"/>
      <c r="BF237" s="64"/>
    </row>
    <row r="238" spans="14:58" ht="18" customHeight="1" x14ac:dyDescent="0.2">
      <c r="N238" s="51"/>
      <c r="O238" s="51"/>
      <c r="P238" s="51"/>
      <c r="X238" s="278" t="s">
        <v>830</v>
      </c>
      <c r="Y238" s="1164">
        <v>16</v>
      </c>
      <c r="Z238" s="1165">
        <v>12.6</v>
      </c>
      <c r="AA238" s="1165">
        <v>10.8</v>
      </c>
      <c r="AB238" s="1165">
        <v>7.2</v>
      </c>
      <c r="AC238" s="1165">
        <v>5.4</v>
      </c>
      <c r="AD238" s="1166">
        <v>3.6</v>
      </c>
      <c r="AE238" s="124"/>
      <c r="AF238" s="124"/>
      <c r="AG238" s="79"/>
      <c r="AH238" s="79"/>
      <c r="AI238" s="278" t="s">
        <v>1241</v>
      </c>
      <c r="AJ238" s="1164">
        <v>16</v>
      </c>
      <c r="AK238" s="1165">
        <v>12.6</v>
      </c>
      <c r="AL238" s="1165">
        <v>10.8</v>
      </c>
      <c r="AM238" s="1165">
        <v>7.2</v>
      </c>
      <c r="AN238" s="1165">
        <v>5.4</v>
      </c>
      <c r="AO238" s="1166">
        <v>3.6</v>
      </c>
      <c r="AP238" s="1235"/>
      <c r="AQ238" s="1235"/>
      <c r="AR238" s="1235"/>
      <c r="AS238" s="1235"/>
      <c r="AT238" s="1235"/>
      <c r="AU238" s="1235"/>
      <c r="AV238" s="1235"/>
      <c r="AW238" s="1235"/>
      <c r="AX238" s="1235"/>
      <c r="AY238" s="1235"/>
      <c r="AZ238" s="1235"/>
      <c r="BA238" s="1235"/>
      <c r="BB238" s="1235"/>
      <c r="BC238" s="1235"/>
      <c r="BD238" s="1236"/>
      <c r="BE238" s="147"/>
      <c r="BF238" s="64"/>
    </row>
    <row r="239" spans="14:58" ht="18" customHeight="1" x14ac:dyDescent="0.2">
      <c r="N239" s="51"/>
      <c r="O239" s="51"/>
      <c r="P239" s="51"/>
      <c r="X239" s="1846">
        <v>0</v>
      </c>
      <c r="Y239" s="1430" t="s">
        <v>561</v>
      </c>
      <c r="Z239" s="1212">
        <v>192</v>
      </c>
      <c r="AA239" s="1212">
        <v>168</v>
      </c>
      <c r="AB239" s="1212">
        <v>144</v>
      </c>
      <c r="AC239" s="1212">
        <v>120</v>
      </c>
      <c r="AD239" s="1213">
        <v>120</v>
      </c>
      <c r="AE239" s="124"/>
      <c r="AF239" s="124"/>
      <c r="AG239" s="79"/>
      <c r="AH239" s="79"/>
      <c r="AI239" s="1845">
        <v>0</v>
      </c>
      <c r="AJ239" s="1430" t="s">
        <v>561</v>
      </c>
      <c r="AK239" s="1431">
        <v>60</v>
      </c>
      <c r="AL239" s="1431">
        <v>60</v>
      </c>
      <c r="AM239" s="1431">
        <v>40</v>
      </c>
      <c r="AN239" s="1431">
        <v>40</v>
      </c>
      <c r="AO239" s="1431">
        <v>40</v>
      </c>
      <c r="AP239" s="1842"/>
      <c r="AQ239" s="1245" t="s">
        <v>837</v>
      </c>
      <c r="AR239" s="1163">
        <v>524</v>
      </c>
      <c r="AS239" s="1246" t="s">
        <v>229</v>
      </c>
      <c r="AT239" s="1247">
        <f>AR239*0.000001*7800</f>
        <v>4.0871999999999993</v>
      </c>
      <c r="AU239" s="1246" t="s">
        <v>66</v>
      </c>
      <c r="AV239" s="1245" t="s">
        <v>841</v>
      </c>
      <c r="AW239" s="1247">
        <f>AT239*2</f>
        <v>8.1743999999999986</v>
      </c>
      <c r="AX239" s="1248" t="s">
        <v>67</v>
      </c>
      <c r="AY239" s="1235"/>
      <c r="AZ239" s="1235"/>
      <c r="BA239" s="1235"/>
      <c r="BB239" s="1235"/>
      <c r="BC239" s="1235"/>
      <c r="BD239" s="1236"/>
      <c r="BF239" s="64"/>
    </row>
    <row r="240" spans="14:58" ht="18" customHeight="1" x14ac:dyDescent="0.2">
      <c r="N240" s="51"/>
      <c r="O240" s="51"/>
      <c r="P240" s="51"/>
      <c r="X240" s="1148">
        <v>5</v>
      </c>
      <c r="Y240" s="1834" t="str">
        <f>IF(Y233="kan niet","kan niet",VLOOKUP(Y233,$AR$246:$AW$252,3,0)*2.4)</f>
        <v>kan niet</v>
      </c>
      <c r="Z240" s="1835">
        <v>192</v>
      </c>
      <c r="AA240" s="1835">
        <v>168</v>
      </c>
      <c r="AB240" s="1835">
        <f>IF(AB233="kan niet","kan niet",VLOOKUP(AB233,$AR$246:$AW$252,3,0)*2.4)</f>
        <v>144</v>
      </c>
      <c r="AC240" s="1835">
        <v>120</v>
      </c>
      <c r="AD240" s="1836">
        <v>120</v>
      </c>
      <c r="AE240" s="124"/>
      <c r="AF240" s="124"/>
      <c r="AG240" s="79"/>
      <c r="AH240" s="79"/>
      <c r="AI240" s="1148">
        <v>5</v>
      </c>
      <c r="AJ240" s="1834" t="str">
        <f>VLOOKUP(Y233,$AR$246:$AW$252,4,0)</f>
        <v>kan niet</v>
      </c>
      <c r="AK240" s="1835">
        <v>90</v>
      </c>
      <c r="AL240" s="1835">
        <v>90</v>
      </c>
      <c r="AM240" s="1835">
        <v>60</v>
      </c>
      <c r="AN240" s="1835">
        <v>60</v>
      </c>
      <c r="AO240" s="1836">
        <v>60</v>
      </c>
      <c r="AP240" s="1237"/>
      <c r="AQ240" s="1249" t="s">
        <v>838</v>
      </c>
      <c r="AR240" s="1250">
        <v>754</v>
      </c>
      <c r="AS240" s="1251" t="s">
        <v>229</v>
      </c>
      <c r="AT240" s="1252">
        <f>AR240*0.000001*7800</f>
        <v>5.8811999999999998</v>
      </c>
      <c r="AU240" s="1251" t="s">
        <v>66</v>
      </c>
      <c r="AV240" s="1249" t="s">
        <v>842</v>
      </c>
      <c r="AW240" s="1252">
        <f t="shared" ref="AW240:AW241" si="60">AT240*2</f>
        <v>11.7624</v>
      </c>
      <c r="AX240" s="1253" t="s">
        <v>67</v>
      </c>
      <c r="AY240" s="1235"/>
      <c r="AZ240" s="1235"/>
      <c r="BA240" s="1235"/>
      <c r="BB240" s="1235"/>
      <c r="BC240" s="1235"/>
      <c r="BD240" s="1236"/>
      <c r="BE240" s="147"/>
      <c r="BF240" s="64"/>
    </row>
    <row r="241" spans="14:58" ht="18" customHeight="1" x14ac:dyDescent="0.2">
      <c r="N241" s="51"/>
      <c r="O241" s="51"/>
      <c r="P241" s="51"/>
      <c r="X241" s="1148">
        <v>10</v>
      </c>
      <c r="Y241" s="1834" t="str">
        <f>IF(Y234="kan niet","kan niet",VLOOKUP(Y234,$AR$246:$AW$252,3,0)*2.4)</f>
        <v>kan niet</v>
      </c>
      <c r="Z241" s="1835">
        <v>192</v>
      </c>
      <c r="AA241" s="1835">
        <v>168</v>
      </c>
      <c r="AB241" s="1835">
        <f>IF(AB234="kan niet","kan niet",VLOOKUP(AB234,$AR$246:$AW$252,3,0)*2.4)</f>
        <v>144</v>
      </c>
      <c r="AC241" s="1835">
        <v>120</v>
      </c>
      <c r="AD241" s="1836">
        <v>120</v>
      </c>
      <c r="AE241" s="124"/>
      <c r="AF241" s="124"/>
      <c r="AG241" s="79"/>
      <c r="AH241" s="79"/>
      <c r="AI241" s="1148">
        <v>10</v>
      </c>
      <c r="AJ241" s="1834" t="str">
        <f>VLOOKUP(Y234,$AR$246:$AW$252,4,0)</f>
        <v>kan niet</v>
      </c>
      <c r="AK241" s="1835">
        <v>120</v>
      </c>
      <c r="AL241" s="1835">
        <v>120</v>
      </c>
      <c r="AM241" s="1835">
        <v>90</v>
      </c>
      <c r="AN241" s="1835">
        <v>90</v>
      </c>
      <c r="AO241" s="1836">
        <v>90</v>
      </c>
      <c r="AP241" s="1237"/>
      <c r="AQ241" s="1254" t="s">
        <v>839</v>
      </c>
      <c r="AR241" s="1250">
        <v>1340</v>
      </c>
      <c r="AS241" s="1251" t="s">
        <v>229</v>
      </c>
      <c r="AT241" s="1252">
        <f>AR241*0.000001*7800</f>
        <v>10.452</v>
      </c>
      <c r="AU241" s="1251" t="s">
        <v>66</v>
      </c>
      <c r="AV241" s="1249" t="s">
        <v>843</v>
      </c>
      <c r="AW241" s="1252">
        <f t="shared" si="60"/>
        <v>20.904</v>
      </c>
      <c r="AX241" s="1253" t="s">
        <v>67</v>
      </c>
      <c r="AY241" s="1235"/>
      <c r="AZ241" s="1235"/>
      <c r="BA241" s="1235"/>
      <c r="BB241" s="1235"/>
      <c r="BC241" s="1235"/>
      <c r="BD241" s="1236"/>
      <c r="BE241" s="147"/>
      <c r="BF241" s="64"/>
    </row>
    <row r="242" spans="14:58" ht="18" customHeight="1" x14ac:dyDescent="0.2">
      <c r="N242" s="51"/>
      <c r="O242" s="51"/>
      <c r="P242" s="51"/>
      <c r="X242" s="1148">
        <v>15</v>
      </c>
      <c r="Y242" s="1834" t="str">
        <f>IF(Y235="kan niet","kan niet",VLOOKUP(Y235,$AR$246:$AW$252,3,0)*2.4)</f>
        <v>kan niet</v>
      </c>
      <c r="Z242" s="1835" t="str">
        <f>IF(Z235="kan niet","kan niet",VLOOKUP(Z235,$AR$246:$AW$252,3,0)*2.4)</f>
        <v>kan niet</v>
      </c>
      <c r="AA242" s="1835" t="str">
        <f>IF(AA235="kan niet","kan niet",VLOOKUP(AA235,$AR$246:$AW$252,3,0)*2.4)</f>
        <v>kan niet</v>
      </c>
      <c r="AB242" s="1835" t="str">
        <f>IF(AB235="kan niet","kan niet",VLOOKUP(AB235,$AR$246:$AW$252,3,0)*2.4)</f>
        <v>kan niet</v>
      </c>
      <c r="AC242" s="1835" t="str">
        <f>IF(AC235="kan niet","kan niet",VLOOKUP(AC235,$AR$246:$AW$252,3,0)*2.4)</f>
        <v>kan niet</v>
      </c>
      <c r="AD242" s="1836" t="str">
        <f>IF(AD235="kan niet","kan niet",VLOOKUP(AD235,$AR$246:$AW$252,3,0)*2.4)</f>
        <v>kan niet</v>
      </c>
      <c r="AE242" s="124"/>
      <c r="AF242" s="124"/>
      <c r="AG242" s="79"/>
      <c r="AH242" s="79"/>
      <c r="AI242" s="1148">
        <v>15</v>
      </c>
      <c r="AJ242" s="1834" t="str">
        <f>VLOOKUP(Y235,$AR$246:$AW$252,4,0)</f>
        <v>kan niet</v>
      </c>
      <c r="AK242" s="1835" t="str">
        <f t="shared" ref="AK242:AO243" si="61">VLOOKUP(Z235,$AR$246:$AW$252,4,0)</f>
        <v>kan niet</v>
      </c>
      <c r="AL242" s="1835" t="str">
        <f t="shared" si="61"/>
        <v>kan niet</v>
      </c>
      <c r="AM242" s="1835" t="str">
        <f t="shared" si="61"/>
        <v>kan niet</v>
      </c>
      <c r="AN242" s="1835" t="str">
        <f t="shared" si="61"/>
        <v>kan niet</v>
      </c>
      <c r="AO242" s="1836" t="str">
        <f t="shared" si="61"/>
        <v>kan niet</v>
      </c>
      <c r="AP242" s="1237"/>
      <c r="AQ242" s="1255" t="s">
        <v>561</v>
      </c>
      <c r="AR242" s="1256"/>
      <c r="AS242" s="1256"/>
      <c r="AT242" s="1256"/>
      <c r="AU242" s="1256"/>
      <c r="AV242" s="1255" t="s">
        <v>561</v>
      </c>
      <c r="AW242" s="1256" t="s">
        <v>561</v>
      </c>
      <c r="AX242" s="1257"/>
      <c r="AY242" s="1235"/>
      <c r="AZ242" s="1235"/>
      <c r="BA242" s="1235"/>
      <c r="BB242" s="1235"/>
      <c r="BC242" s="1235"/>
      <c r="BD242" s="1236"/>
      <c r="BE242" s="147"/>
      <c r="BF242" s="64"/>
    </row>
    <row r="243" spans="14:58" ht="18" customHeight="1" x14ac:dyDescent="0.2">
      <c r="N243" s="51"/>
      <c r="O243" s="51"/>
      <c r="P243" s="51"/>
      <c r="X243" s="1149">
        <v>20</v>
      </c>
      <c r="Y243" s="1837" t="str">
        <f>IF(Y236="kan niet","kan niet",VLOOKUP(Y236,$AR$246:$AW$252,3,0)*2.4)</f>
        <v>kan niet</v>
      </c>
      <c r="Z243" s="1838" t="str">
        <f>IF(Z236="kan niet","kan niet",VLOOKUP(Z236,$AR$246:$AW$252,3,0)*2.4)</f>
        <v>kan niet</v>
      </c>
      <c r="AA243" s="1838" t="str">
        <f>IF(AA236="kan niet","kan niet",VLOOKUP(AA236,$AR$246:$AW$252,3,0)*2.4)</f>
        <v>kan niet</v>
      </c>
      <c r="AB243" s="1838" t="str">
        <f>IF(AB236="kan niet","kan niet",VLOOKUP(AB236,$AR$246:$AW$252,3,0)*2.4)</f>
        <v>kan niet</v>
      </c>
      <c r="AC243" s="1838" t="str">
        <f>IF(AC236="kan niet","kan niet",VLOOKUP(AC236,$AR$246:$AW$252,3,0)*2.4)</f>
        <v>kan niet</v>
      </c>
      <c r="AD243" s="1839" t="str">
        <f>IF(AD236="kan niet","kan niet",VLOOKUP(AD236,$AR$246:$AW$252,3,0)*2.4)</f>
        <v>kan niet</v>
      </c>
      <c r="AE243" s="124"/>
      <c r="AF243" s="124"/>
      <c r="AG243" s="79"/>
      <c r="AH243" s="79"/>
      <c r="AI243" s="1149">
        <v>20</v>
      </c>
      <c r="AJ243" s="1837" t="str">
        <f>VLOOKUP(Y236,$AR$246:$AW$252,4,0)</f>
        <v>kan niet</v>
      </c>
      <c r="AK243" s="1838" t="str">
        <f t="shared" si="61"/>
        <v>kan niet</v>
      </c>
      <c r="AL243" s="1838" t="str">
        <f t="shared" si="61"/>
        <v>kan niet</v>
      </c>
      <c r="AM243" s="1838" t="str">
        <f t="shared" si="61"/>
        <v>kan niet</v>
      </c>
      <c r="AN243" s="1838" t="str">
        <f t="shared" si="61"/>
        <v>kan niet</v>
      </c>
      <c r="AO243" s="1839" t="str">
        <f t="shared" si="61"/>
        <v>kan niet</v>
      </c>
      <c r="AP243" s="1237"/>
      <c r="AQ243" s="1237"/>
      <c r="AR243" s="1237"/>
      <c r="AS243" s="1235"/>
      <c r="AT243" s="1258"/>
      <c r="AU243" s="1235"/>
      <c r="AV243" s="1259"/>
      <c r="AW243" s="1235"/>
      <c r="AX243" s="1235"/>
      <c r="AY243" s="1235"/>
      <c r="AZ243" s="1235"/>
      <c r="BA243" s="1235"/>
      <c r="BB243" s="1235"/>
      <c r="BC243" s="1235"/>
      <c r="BD243" s="1236"/>
      <c r="BE243" s="147"/>
      <c r="BF243" s="64"/>
    </row>
    <row r="244" spans="14:58" ht="18" customHeight="1" x14ac:dyDescent="0.2">
      <c r="N244" s="51"/>
      <c r="O244" s="51"/>
      <c r="P244" s="51"/>
      <c r="X244" s="335"/>
      <c r="Y244" s="166" t="s">
        <v>67</v>
      </c>
      <c r="Z244" s="166"/>
      <c r="AA244" s="166"/>
      <c r="AB244" s="166"/>
      <c r="AC244" s="166"/>
      <c r="AD244" s="166"/>
      <c r="AE244" s="124"/>
      <c r="AF244" s="124"/>
      <c r="AG244" s="79"/>
      <c r="AH244" s="79"/>
      <c r="AI244" s="250"/>
      <c r="AJ244" s="1840"/>
      <c r="AK244" s="1840"/>
      <c r="AL244" s="1840"/>
      <c r="AM244" s="1840"/>
      <c r="AN244" s="1840"/>
      <c r="AO244" s="1840"/>
      <c r="AP244" s="1237"/>
      <c r="AQ244" s="1260"/>
      <c r="AR244" s="1261"/>
      <c r="AS244" s="1262"/>
      <c r="AT244" s="1263" t="s">
        <v>829</v>
      </c>
      <c r="AU244" s="1263" t="s">
        <v>835</v>
      </c>
      <c r="AV244" s="1263" t="s">
        <v>828</v>
      </c>
      <c r="AW244" s="1264" t="s">
        <v>836</v>
      </c>
      <c r="AX244" s="1235"/>
      <c r="AY244" s="1235"/>
      <c r="AZ244" s="1235"/>
      <c r="BA244" s="1235"/>
      <c r="BB244" s="1235"/>
      <c r="BC244" s="1235"/>
      <c r="BD244" s="1236"/>
      <c r="BE244" s="147"/>
      <c r="BF244" s="64"/>
    </row>
    <row r="245" spans="14:58" ht="18" customHeight="1" x14ac:dyDescent="0.2">
      <c r="N245" s="51"/>
      <c r="O245" s="51"/>
      <c r="P245" s="51"/>
      <c r="X245" s="278" t="s">
        <v>831</v>
      </c>
      <c r="Y245" s="1164">
        <v>16</v>
      </c>
      <c r="Z245" s="1165">
        <v>12.6</v>
      </c>
      <c r="AA245" s="1165">
        <v>10.8</v>
      </c>
      <c r="AB245" s="1165">
        <v>7.2</v>
      </c>
      <c r="AC245" s="1165">
        <v>5.4</v>
      </c>
      <c r="AD245" s="1166">
        <v>3.6</v>
      </c>
      <c r="AE245" s="124"/>
      <c r="AF245" s="124"/>
      <c r="AG245" s="79"/>
      <c r="AH245" s="79"/>
      <c r="AI245" s="250"/>
      <c r="AJ245" s="1240"/>
      <c r="AK245" s="1240"/>
      <c r="AL245" s="1240"/>
      <c r="AM245" s="1240"/>
      <c r="AN245" s="1240"/>
      <c r="AO245" s="1240"/>
      <c r="AP245" s="1237">
        <v>3.6</v>
      </c>
      <c r="AQ245" s="1832" t="s">
        <v>840</v>
      </c>
      <c r="AR245" s="123">
        <v>200</v>
      </c>
      <c r="AT245" s="120">
        <v>60</v>
      </c>
      <c r="AV245" s="120">
        <v>140</v>
      </c>
      <c r="AX245" s="1235"/>
      <c r="AY245" s="1235"/>
      <c r="AZ245" s="1235"/>
      <c r="BA245" s="1235"/>
      <c r="BB245" s="1235"/>
      <c r="BC245" s="1235"/>
      <c r="BD245" s="1236"/>
      <c r="BE245" s="147"/>
      <c r="BF245" s="64"/>
    </row>
    <row r="246" spans="14:58" ht="18" customHeight="1" x14ac:dyDescent="0.2">
      <c r="N246" s="51"/>
      <c r="O246" s="51"/>
      <c r="P246" s="51"/>
      <c r="X246" s="1846">
        <v>0</v>
      </c>
      <c r="Y246" s="1430" t="s">
        <v>561</v>
      </c>
      <c r="Z246" s="1212">
        <v>648</v>
      </c>
      <c r="AA246" s="1212">
        <v>552</v>
      </c>
      <c r="AB246" s="1212">
        <v>456</v>
      </c>
      <c r="AC246" s="1212">
        <v>360</v>
      </c>
      <c r="AD246" s="1213">
        <v>240</v>
      </c>
      <c r="AE246" s="124"/>
      <c r="AF246" s="124"/>
      <c r="AG246" s="79"/>
      <c r="AH246" s="79"/>
      <c r="AI246" s="250"/>
      <c r="AJ246" s="1240"/>
      <c r="AK246" s="1240"/>
      <c r="AL246" s="1240"/>
      <c r="AM246" s="1240"/>
      <c r="AN246" s="1240"/>
      <c r="AO246" s="1240"/>
      <c r="AP246" s="1237">
        <v>5.4</v>
      </c>
      <c r="AQ246" s="1265" t="s">
        <v>840</v>
      </c>
      <c r="AR246" s="1266">
        <v>250</v>
      </c>
      <c r="AS246" s="1267" t="s">
        <v>832</v>
      </c>
      <c r="AT246" s="1251">
        <v>60</v>
      </c>
      <c r="AU246" s="1251" t="s">
        <v>841</v>
      </c>
      <c r="AV246" s="1251">
        <v>190</v>
      </c>
      <c r="AW246" s="1253" t="s">
        <v>841</v>
      </c>
      <c r="AX246" s="1235"/>
      <c r="AY246" s="1235"/>
      <c r="AZ246" s="1235"/>
      <c r="BA246" s="1235"/>
      <c r="BB246" s="1235"/>
      <c r="BC246" s="1235"/>
      <c r="BD246" s="1236"/>
      <c r="BE246" s="147"/>
      <c r="BF246" s="64"/>
    </row>
    <row r="247" spans="14:58" ht="18" customHeight="1" x14ac:dyDescent="0.2">
      <c r="N247" s="51"/>
      <c r="O247" s="51"/>
      <c r="P247" s="51"/>
      <c r="X247" s="1148">
        <v>5</v>
      </c>
      <c r="Y247" s="1834" t="str">
        <f>IF(Y233="kan niet","kan niet",VLOOKUP(Y233,$AR$246:$AW$252,5,0)*2.4)</f>
        <v>kan niet</v>
      </c>
      <c r="Z247" s="1835">
        <v>768</v>
      </c>
      <c r="AA247" s="1835">
        <v>672</v>
      </c>
      <c r="AB247" s="1835">
        <f>IF(AB233="kan niet","kan niet",VLOOKUP(AB233,$AR$246:$AW$252,5,0)*2.4)</f>
        <v>576</v>
      </c>
      <c r="AC247" s="1835">
        <v>480</v>
      </c>
      <c r="AD247" s="1836">
        <v>360</v>
      </c>
      <c r="AE247" s="124"/>
      <c r="AF247" s="124"/>
      <c r="AG247" s="79"/>
      <c r="AH247" s="79"/>
      <c r="AI247" s="250"/>
      <c r="AJ247" s="1240"/>
      <c r="AK247" s="1240"/>
      <c r="AL247" s="1240"/>
      <c r="AM247" s="1240"/>
      <c r="AN247" s="1240"/>
      <c r="AO247" s="1240"/>
      <c r="AP247" s="1237">
        <v>7.2</v>
      </c>
      <c r="AQ247" s="1265" t="s">
        <v>840</v>
      </c>
      <c r="AR247" s="1266">
        <v>300</v>
      </c>
      <c r="AS247" s="1267" t="s">
        <v>833</v>
      </c>
      <c r="AT247" s="1251">
        <v>60</v>
      </c>
      <c r="AU247" s="1251" t="s">
        <v>842</v>
      </c>
      <c r="AV247" s="1251">
        <v>240</v>
      </c>
      <c r="AW247" s="1253" t="s">
        <v>842</v>
      </c>
      <c r="AX247" s="1235"/>
      <c r="AY247" s="1235"/>
      <c r="AZ247" s="1235"/>
      <c r="BA247" s="1235"/>
      <c r="BB247" s="1235"/>
      <c r="BC247" s="1235"/>
      <c r="BD247" s="1236"/>
      <c r="BE247" s="147"/>
      <c r="BF247" s="64"/>
    </row>
    <row r="248" spans="14:58" ht="18" customHeight="1" x14ac:dyDescent="0.2">
      <c r="N248" s="51"/>
      <c r="O248" s="51"/>
      <c r="P248" s="51"/>
      <c r="X248" s="1148">
        <v>10</v>
      </c>
      <c r="Y248" s="1834" t="str">
        <f>IF(Y234="kan niet","kan niet",VLOOKUP(Y234,$AR$246:$AW$252,5,0)*2.4)</f>
        <v>kan niet</v>
      </c>
      <c r="Z248" s="1835">
        <v>888</v>
      </c>
      <c r="AA248" s="1835">
        <f>IF(AA234="kan niet","kan niet",VLOOKUP(AA234,$AR$246:$AW$252,5,0)*2.4)</f>
        <v>816</v>
      </c>
      <c r="AB248" s="1835">
        <f>IF(AB234="kan niet","kan niet",VLOOKUP(AB234,$AR$246:$AW$252,5,0)*2.4)</f>
        <v>696</v>
      </c>
      <c r="AC248" s="1835">
        <f t="shared" ref="AC248:AD250" si="62">IF(AC234="kan niet","kan niet",VLOOKUP(AC234,$AR$246:$AW$252,5,0)*2.4)</f>
        <v>576</v>
      </c>
      <c r="AD248" s="1836">
        <f t="shared" si="62"/>
        <v>456</v>
      </c>
      <c r="AE248" s="124"/>
      <c r="AF248" s="124"/>
      <c r="AG248" s="79"/>
      <c r="AH248" s="79"/>
      <c r="AI248" s="250"/>
      <c r="AJ248" s="1240"/>
      <c r="AK248" s="1240"/>
      <c r="AL248" s="1240"/>
      <c r="AM248" s="1240"/>
      <c r="AN248" s="1240"/>
      <c r="AO248" s="1240"/>
      <c r="AP248" s="1237">
        <v>10.8</v>
      </c>
      <c r="AQ248" s="1265" t="s">
        <v>840</v>
      </c>
      <c r="AR248" s="1266">
        <v>350</v>
      </c>
      <c r="AS248" s="1267" t="s">
        <v>834</v>
      </c>
      <c r="AT248" s="1251">
        <v>60</v>
      </c>
      <c r="AU248" s="1251" t="s">
        <v>843</v>
      </c>
      <c r="AV248" s="1251">
        <v>290</v>
      </c>
      <c r="AW248" s="1253" t="s">
        <v>843</v>
      </c>
      <c r="AX248" s="1235"/>
      <c r="AY248" s="1235"/>
      <c r="AZ248" s="1235"/>
      <c r="BA248" s="1235"/>
      <c r="BB248" s="1235"/>
      <c r="BC248" s="1235"/>
      <c r="BD248" s="1236"/>
      <c r="BE248" s="147"/>
      <c r="BF248" s="64"/>
    </row>
    <row r="249" spans="14:58" ht="18" customHeight="1" x14ac:dyDescent="0.2">
      <c r="N249" s="51"/>
      <c r="O249" s="51"/>
      <c r="P249" s="51"/>
      <c r="X249" s="1148">
        <v>15</v>
      </c>
      <c r="Y249" s="1834" t="str">
        <f>IF(Y235="kan niet","kan niet",VLOOKUP(Y235,$AR$246:$AW$252,5,0)*2.4)</f>
        <v>kan niet</v>
      </c>
      <c r="Z249" s="1835" t="str">
        <f>IF(Z235="kan niet","kan niet",VLOOKUP(Z235,$AR$246:$AW$252,5,0)*2.4)</f>
        <v>kan niet</v>
      </c>
      <c r="AA249" s="1835" t="str">
        <f>IF(AA235="kan niet","kan niet",VLOOKUP(AA235,$AR$246:$AW$252,5,0)*2.4)</f>
        <v>kan niet</v>
      </c>
      <c r="AB249" s="1835" t="str">
        <f>IF(AB235="kan niet","kan niet",VLOOKUP(AB235,$AR$246:$AW$252,5,0)*2.4)</f>
        <v>kan niet</v>
      </c>
      <c r="AC249" s="1835" t="str">
        <f t="shared" si="62"/>
        <v>kan niet</v>
      </c>
      <c r="AD249" s="1836" t="str">
        <f t="shared" si="62"/>
        <v>kan niet</v>
      </c>
      <c r="AE249" s="124"/>
      <c r="AF249" s="124"/>
      <c r="AG249" s="79"/>
      <c r="AH249" s="79"/>
      <c r="AI249" s="79"/>
      <c r="AJ249" s="79"/>
      <c r="AK249" s="79"/>
      <c r="AL249" s="79"/>
      <c r="AM249" s="79"/>
      <c r="AN249" s="79"/>
      <c r="AO249" s="79"/>
      <c r="AP249" s="1235">
        <v>12.6</v>
      </c>
      <c r="AQ249" s="1832" t="s">
        <v>840</v>
      </c>
      <c r="AR249" s="123">
        <v>400</v>
      </c>
      <c r="AT249" s="120">
        <v>60</v>
      </c>
      <c r="AV249" s="120">
        <v>340</v>
      </c>
      <c r="AX249" s="1235"/>
      <c r="AY249" s="1235"/>
      <c r="AZ249" s="1235"/>
      <c r="BA249" s="1235"/>
      <c r="BB249" s="1235"/>
      <c r="BC249" s="1235"/>
      <c r="BD249" s="1236"/>
      <c r="BE249" s="147"/>
      <c r="BF249" s="64"/>
    </row>
    <row r="250" spans="14:58" ht="18" customHeight="1" x14ac:dyDescent="0.2">
      <c r="N250" s="51"/>
      <c r="O250" s="51"/>
      <c r="P250" s="51"/>
      <c r="X250" s="1149">
        <v>20</v>
      </c>
      <c r="Y250" s="1837" t="str">
        <f>IF(Y236="kan niet","kan niet",VLOOKUP(Y236,$AR$246:$AW$252,5,0)*2.4)</f>
        <v>kan niet</v>
      </c>
      <c r="Z250" s="1838" t="str">
        <f>IF(Z236="kan niet","kan niet",VLOOKUP(Z236,$AR$246:$AW$252,5,0)*2.4)</f>
        <v>kan niet</v>
      </c>
      <c r="AA250" s="1838" t="str">
        <f>IF(AA236="kan niet","kan niet",VLOOKUP(AA236,$AR$246:$AW$252,5,0)*2.4)</f>
        <v>kan niet</v>
      </c>
      <c r="AB250" s="1838" t="str">
        <f>IF(AB236="kan niet","kan niet",VLOOKUP(AB236,$AR$246:$AW$252,5,0)*2.4)</f>
        <v>kan niet</v>
      </c>
      <c r="AC250" s="1838" t="str">
        <f t="shared" si="62"/>
        <v>kan niet</v>
      </c>
      <c r="AD250" s="1839" t="str">
        <f t="shared" si="62"/>
        <v>kan niet</v>
      </c>
      <c r="AE250" s="124"/>
      <c r="AF250" s="124"/>
      <c r="AG250" s="79"/>
      <c r="AH250" s="79"/>
      <c r="AI250" s="79"/>
      <c r="AJ250" s="79"/>
      <c r="AK250" s="79"/>
      <c r="AL250" s="79"/>
      <c r="AM250" s="79"/>
      <c r="AN250" s="79"/>
      <c r="AO250" s="79"/>
      <c r="AP250" s="1235"/>
      <c r="AQ250" s="1832"/>
      <c r="AR250" s="123"/>
      <c r="AT250" s="120"/>
      <c r="AV250" s="120"/>
      <c r="AX250" s="1235"/>
      <c r="AY250" s="1235"/>
      <c r="AZ250" s="1235"/>
      <c r="BA250" s="1235"/>
      <c r="BB250" s="1235"/>
      <c r="BC250" s="1235"/>
      <c r="BD250" s="1236"/>
      <c r="BE250" s="147"/>
      <c r="BF250" s="64"/>
    </row>
    <row r="251" spans="14:58" ht="18" customHeight="1" x14ac:dyDescent="0.2">
      <c r="N251" s="51"/>
      <c r="O251" s="51"/>
      <c r="P251" s="51"/>
      <c r="X251" s="335"/>
      <c r="Y251" s="79"/>
      <c r="Z251" s="79"/>
      <c r="AA251" s="79"/>
      <c r="AB251" s="79"/>
      <c r="AC251" s="79"/>
      <c r="AD251" s="79"/>
      <c r="AE251" s="124"/>
      <c r="AF251" s="124"/>
      <c r="AG251" s="79"/>
      <c r="AH251" s="79"/>
      <c r="AI251" s="79"/>
      <c r="AJ251" s="79"/>
      <c r="AK251" s="79"/>
      <c r="AL251" s="79"/>
      <c r="AM251" s="79"/>
      <c r="AN251" s="79"/>
      <c r="AO251" s="79"/>
      <c r="AP251" s="1235"/>
      <c r="AQ251" s="1832"/>
      <c r="AR251" s="123"/>
      <c r="AT251" s="120"/>
      <c r="AV251" s="120"/>
      <c r="AX251" s="1235"/>
      <c r="AY251" s="1235"/>
      <c r="AZ251" s="1235"/>
      <c r="BA251" s="1235"/>
      <c r="BB251" s="1235"/>
      <c r="BC251" s="1235"/>
      <c r="BD251" s="1236"/>
      <c r="BE251" s="147"/>
      <c r="BF251" s="64"/>
    </row>
    <row r="252" spans="14:58" ht="18" customHeight="1" x14ac:dyDescent="0.2">
      <c r="N252" s="51"/>
      <c r="O252" s="51"/>
      <c r="P252" s="51"/>
      <c r="X252" s="312" t="s">
        <v>142</v>
      </c>
      <c r="Y252" s="313">
        <v>2400</v>
      </c>
      <c r="Z252" s="314" t="s">
        <v>137</v>
      </c>
      <c r="AA252" s="79"/>
      <c r="AB252" s="79"/>
      <c r="AC252" s="79"/>
      <c r="AD252" s="79"/>
      <c r="AE252" s="124"/>
      <c r="AF252" s="124"/>
      <c r="AG252" s="79"/>
      <c r="AH252" s="79"/>
      <c r="AI252" s="79"/>
      <c r="AJ252" s="79"/>
      <c r="AK252" s="79"/>
      <c r="AL252" s="79"/>
      <c r="AM252" s="79"/>
      <c r="AN252" s="79"/>
      <c r="AO252" s="79"/>
      <c r="AP252" s="1235"/>
      <c r="AQ252" s="1268"/>
      <c r="AR252" s="1269" t="s">
        <v>561</v>
      </c>
      <c r="AS252" s="1270"/>
      <c r="AT252" s="1271" t="s">
        <v>561</v>
      </c>
      <c r="AU252" s="1271" t="s">
        <v>561</v>
      </c>
      <c r="AV252" s="1271" t="s">
        <v>561</v>
      </c>
      <c r="AW252" s="1272" t="s">
        <v>561</v>
      </c>
      <c r="AX252" s="1235"/>
      <c r="AY252" s="1235"/>
      <c r="AZ252" s="1235"/>
      <c r="BA252" s="1235"/>
      <c r="BB252" s="1235"/>
      <c r="BC252" s="1235"/>
      <c r="BD252" s="1236"/>
      <c r="BE252" s="147"/>
      <c r="BF252" s="64"/>
    </row>
    <row r="253" spans="14:58" ht="18" customHeight="1" thickBot="1" x14ac:dyDescent="0.25">
      <c r="N253" s="51"/>
      <c r="O253" s="51"/>
      <c r="P253" s="51"/>
      <c r="X253" s="334"/>
      <c r="Y253" s="148"/>
      <c r="Z253" s="148"/>
      <c r="AA253" s="79"/>
      <c r="AB253" s="79"/>
      <c r="AC253" s="79"/>
      <c r="AD253" s="79"/>
      <c r="AE253" s="124"/>
      <c r="AF253" s="124"/>
      <c r="AG253" s="79"/>
      <c r="AH253" s="79"/>
      <c r="AI253" s="79"/>
      <c r="AJ253" s="79"/>
      <c r="AK253" s="79"/>
      <c r="AL253" s="79"/>
      <c r="AM253" s="79"/>
      <c r="AN253" s="79"/>
      <c r="AO253" s="79"/>
      <c r="AP253" s="70"/>
      <c r="AQ253" s="70"/>
      <c r="AR253" s="70"/>
      <c r="AS253" s="70"/>
      <c r="AT253" s="70"/>
      <c r="AU253" s="70"/>
      <c r="AV253" s="70"/>
      <c r="AW253" s="70"/>
      <c r="AX253" s="70"/>
      <c r="AY253" s="70"/>
      <c r="AZ253" s="70"/>
      <c r="BA253" s="70"/>
      <c r="BB253" s="70"/>
      <c r="BC253" s="70"/>
      <c r="BD253" s="243"/>
      <c r="BE253" s="147"/>
      <c r="BF253" s="64"/>
    </row>
    <row r="254" spans="14:58" ht="18" customHeight="1" thickBot="1" x14ac:dyDescent="0.25">
      <c r="N254" s="51"/>
      <c r="O254" s="51"/>
      <c r="P254" s="51"/>
      <c r="X254" s="254" t="s">
        <v>144</v>
      </c>
      <c r="Y254" s="255"/>
      <c r="Z254" s="255"/>
      <c r="AA254" s="255"/>
      <c r="AB254" s="255"/>
      <c r="AC254" s="255"/>
      <c r="AD254" s="255"/>
      <c r="AE254" s="255"/>
      <c r="AF254" s="255"/>
      <c r="AG254" s="255"/>
      <c r="AH254" s="255"/>
      <c r="AI254" s="255"/>
      <c r="AJ254" s="255"/>
      <c r="AK254" s="255"/>
      <c r="AL254" s="255"/>
      <c r="AM254" s="255"/>
      <c r="AN254" s="255"/>
      <c r="AO254" s="255"/>
      <c r="AP254" s="255"/>
      <c r="AQ254" s="255"/>
      <c r="AR254" s="255"/>
      <c r="AS254" s="255"/>
      <c r="AT254" s="255"/>
      <c r="AU254" s="255"/>
      <c r="AV254" s="255"/>
      <c r="AW254" s="255"/>
      <c r="AX254" s="255"/>
      <c r="AY254" s="255"/>
      <c r="AZ254" s="255"/>
      <c r="BA254" s="255"/>
      <c r="BB254" s="255"/>
      <c r="BC254" s="255"/>
      <c r="BD254" s="256"/>
      <c r="BE254" s="147"/>
      <c r="BF254" s="64"/>
    </row>
    <row r="255" spans="14:58" ht="18" customHeight="1" x14ac:dyDescent="0.2">
      <c r="N255" s="51"/>
      <c r="O255" s="51"/>
      <c r="P255" s="51"/>
      <c r="X255" s="335" t="s">
        <v>145</v>
      </c>
      <c r="Y255" s="66"/>
      <c r="Z255" s="66"/>
      <c r="AA255" s="66"/>
      <c r="AB255" s="66"/>
      <c r="AC255" s="66"/>
      <c r="AD255" s="66"/>
      <c r="AE255" s="124"/>
      <c r="AF255" s="124"/>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324"/>
      <c r="BE255" s="147"/>
      <c r="BF255" s="64"/>
    </row>
    <row r="256" spans="14:58" ht="18" customHeight="1" x14ac:dyDescent="0.2">
      <c r="N256" s="51"/>
      <c r="O256" s="51"/>
      <c r="P256" s="51"/>
      <c r="X256" s="335" t="s">
        <v>146</v>
      </c>
      <c r="Y256" s="66"/>
      <c r="Z256" s="66"/>
      <c r="AA256" s="66"/>
      <c r="AB256" s="66"/>
      <c r="AC256" s="66"/>
      <c r="AD256" s="66"/>
      <c r="AE256" s="124"/>
      <c r="AF256" s="124"/>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324"/>
      <c r="BE256" s="147"/>
      <c r="BF256" s="64"/>
    </row>
    <row r="257" spans="10:58" ht="18" customHeight="1" x14ac:dyDescent="0.2">
      <c r="N257" s="51"/>
      <c r="O257" s="51"/>
      <c r="P257" s="51"/>
      <c r="X257" s="335" t="s">
        <v>147</v>
      </c>
      <c r="Y257" s="66"/>
      <c r="Z257" s="66"/>
      <c r="AA257" s="66"/>
      <c r="AB257" s="66"/>
      <c r="AC257" s="66"/>
      <c r="AD257" s="66"/>
      <c r="AE257" s="124"/>
      <c r="AF257" s="124"/>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324"/>
      <c r="BE257" s="147"/>
      <c r="BF257" s="64"/>
    </row>
    <row r="258" spans="10:58" ht="18" customHeight="1" x14ac:dyDescent="0.2">
      <c r="X258" s="335" t="s">
        <v>148</v>
      </c>
      <c r="Y258" s="66">
        <f>0.05*2400</f>
        <v>120</v>
      </c>
      <c r="Z258" s="66" t="s">
        <v>67</v>
      </c>
      <c r="AA258" s="66"/>
      <c r="AB258" s="66"/>
      <c r="AC258" s="66"/>
      <c r="AD258" s="66"/>
      <c r="AE258" s="124"/>
      <c r="AF258" s="124"/>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324"/>
      <c r="BE258" s="147"/>
      <c r="BF258" s="64"/>
    </row>
    <row r="259" spans="10:58" ht="18" customHeight="1" x14ac:dyDescent="0.2">
      <c r="X259" s="278" t="s">
        <v>141</v>
      </c>
      <c r="Y259" s="301">
        <v>16</v>
      </c>
      <c r="Z259" s="302">
        <v>12.6</v>
      </c>
      <c r="AA259" s="302">
        <v>10.8</v>
      </c>
      <c r="AB259" s="302">
        <v>7.2</v>
      </c>
      <c r="AC259" s="302">
        <v>5.4</v>
      </c>
      <c r="AD259" s="303">
        <v>3.6</v>
      </c>
      <c r="AE259" s="124"/>
      <c r="AF259" s="124"/>
      <c r="AG259" s="66"/>
      <c r="AH259" s="79"/>
      <c r="AI259" s="278" t="s">
        <v>2</v>
      </c>
      <c r="AJ259" s="301">
        <v>16</v>
      </c>
      <c r="AK259" s="302">
        <v>12.6</v>
      </c>
      <c r="AL259" s="302">
        <v>10.8</v>
      </c>
      <c r="AM259" s="302">
        <v>7.2</v>
      </c>
      <c r="AN259" s="302">
        <v>5.4</v>
      </c>
      <c r="AO259" s="303">
        <v>3.6</v>
      </c>
      <c r="AP259" s="64"/>
      <c r="AQ259" s="79"/>
      <c r="AR259" s="79"/>
      <c r="AS259" s="79"/>
      <c r="AT259" s="66"/>
      <c r="AU259" s="79"/>
      <c r="AV259" s="79"/>
      <c r="AW259" s="79"/>
      <c r="AX259" s="79"/>
      <c r="AY259" s="79"/>
      <c r="AZ259" s="66"/>
      <c r="BA259" s="161"/>
      <c r="BB259" s="161"/>
      <c r="BC259" s="161"/>
      <c r="BD259" s="325"/>
      <c r="BE259" s="147"/>
      <c r="BF259" s="64"/>
    </row>
    <row r="260" spans="10:58" ht="18" customHeight="1" x14ac:dyDescent="0.2">
      <c r="N260" s="64"/>
      <c r="O260" s="64"/>
      <c r="P260" s="64"/>
      <c r="Q260" s="57"/>
      <c r="R260" s="57"/>
      <c r="S260" s="57"/>
      <c r="W260" s="57"/>
      <c r="X260" s="1171">
        <v>5</v>
      </c>
      <c r="Y260" s="304">
        <v>530</v>
      </c>
      <c r="Z260" s="305">
        <v>430</v>
      </c>
      <c r="AA260" s="305">
        <v>430</v>
      </c>
      <c r="AB260" s="305">
        <v>330</v>
      </c>
      <c r="AC260" s="305">
        <v>330</v>
      </c>
      <c r="AD260" s="306">
        <v>330</v>
      </c>
      <c r="AE260" s="124"/>
      <c r="AF260" s="124"/>
      <c r="AG260" s="66"/>
      <c r="AH260" s="79"/>
      <c r="AI260" s="1171">
        <v>5</v>
      </c>
      <c r="AJ260" s="304"/>
      <c r="AK260" s="305"/>
      <c r="AL260" s="305"/>
      <c r="AM260" s="305"/>
      <c r="AN260" s="305"/>
      <c r="AO260" s="306"/>
      <c r="AP260" s="64"/>
      <c r="AQ260" s="79"/>
      <c r="AR260" s="79"/>
      <c r="AS260" s="79"/>
      <c r="AT260" s="66"/>
      <c r="AU260" s="79"/>
      <c r="AV260" s="79"/>
      <c r="AW260" s="79"/>
      <c r="AX260" s="79"/>
      <c r="AY260" s="79"/>
      <c r="AZ260" s="66"/>
      <c r="BA260" s="161"/>
      <c r="BB260" s="161"/>
      <c r="BC260" s="161"/>
      <c r="BD260" s="325"/>
      <c r="BE260" s="147"/>
      <c r="BF260" s="64"/>
    </row>
    <row r="261" spans="10:58" ht="18" customHeight="1" x14ac:dyDescent="0.2">
      <c r="N261" s="64"/>
      <c r="O261" s="57"/>
      <c r="P261" s="64"/>
      <c r="Q261" s="64"/>
      <c r="R261" s="64"/>
      <c r="S261" s="64"/>
      <c r="T261" s="57"/>
      <c r="U261" s="57"/>
      <c r="V261" s="57"/>
      <c r="W261" s="64"/>
      <c r="X261" s="1171">
        <v>10</v>
      </c>
      <c r="Y261" s="307">
        <v>630</v>
      </c>
      <c r="Z261" s="149">
        <v>530</v>
      </c>
      <c r="AA261" s="149">
        <v>430</v>
      </c>
      <c r="AB261" s="149">
        <v>330</v>
      </c>
      <c r="AC261" s="149">
        <v>330</v>
      </c>
      <c r="AD261" s="226">
        <v>330</v>
      </c>
      <c r="AE261" s="124"/>
      <c r="AF261" s="124"/>
      <c r="AG261" s="66"/>
      <c r="AH261" s="79"/>
      <c r="AI261" s="1171">
        <v>10</v>
      </c>
      <c r="AJ261" s="307"/>
      <c r="AK261" s="149"/>
      <c r="AL261" s="149"/>
      <c r="AM261" s="149"/>
      <c r="AN261" s="149"/>
      <c r="AO261" s="226"/>
      <c r="AP261" s="64"/>
      <c r="AQ261" s="79"/>
      <c r="AR261" s="79"/>
      <c r="AS261" s="79"/>
      <c r="AT261" s="66"/>
      <c r="AU261" s="79"/>
      <c r="AV261" s="79"/>
      <c r="AW261" s="79"/>
      <c r="AX261" s="79"/>
      <c r="AY261" s="79"/>
      <c r="AZ261" s="66"/>
      <c r="BA261" s="161"/>
      <c r="BB261" s="161"/>
      <c r="BC261" s="161"/>
      <c r="BD261" s="325"/>
      <c r="BE261" s="147"/>
      <c r="BF261" s="64"/>
    </row>
    <row r="262" spans="10:58" ht="18" customHeight="1" x14ac:dyDescent="0.2">
      <c r="N262" s="64"/>
      <c r="O262" s="57"/>
      <c r="P262" s="64"/>
      <c r="Q262" s="64"/>
      <c r="R262" s="64"/>
      <c r="S262" s="64"/>
      <c r="T262" s="64"/>
      <c r="U262" s="64"/>
      <c r="V262" s="64"/>
      <c r="W262" s="64"/>
      <c r="X262" s="1171">
        <v>15</v>
      </c>
      <c r="Y262" s="307">
        <v>830</v>
      </c>
      <c r="Z262" s="149">
        <v>630</v>
      </c>
      <c r="AA262" s="149">
        <v>530</v>
      </c>
      <c r="AB262" s="149">
        <v>430</v>
      </c>
      <c r="AC262" s="149">
        <v>330</v>
      </c>
      <c r="AD262" s="226">
        <v>330</v>
      </c>
      <c r="AE262" s="124"/>
      <c r="AF262" s="124"/>
      <c r="AG262" s="66"/>
      <c r="AH262" s="79"/>
      <c r="AI262" s="1171">
        <v>15</v>
      </c>
      <c r="AJ262" s="307"/>
      <c r="AK262" s="149"/>
      <c r="AL262" s="149"/>
      <c r="AM262" s="149"/>
      <c r="AN262" s="149"/>
      <c r="AO262" s="226"/>
      <c r="AP262" s="64"/>
      <c r="AQ262" s="79"/>
      <c r="AR262" s="79"/>
      <c r="AS262" s="79"/>
      <c r="AT262" s="66"/>
      <c r="AU262" s="79"/>
      <c r="AV262" s="79"/>
      <c r="AW262" s="79"/>
      <c r="AX262" s="79"/>
      <c r="AY262" s="79"/>
      <c r="AZ262" s="66"/>
      <c r="BA262" s="161"/>
      <c r="BB262" s="161"/>
      <c r="BC262" s="161"/>
      <c r="BD262" s="325"/>
      <c r="BF262" s="64"/>
    </row>
    <row r="263" spans="10:58" ht="18" customHeight="1" x14ac:dyDescent="0.2">
      <c r="N263" s="64"/>
      <c r="O263" s="64"/>
      <c r="P263" s="64"/>
      <c r="Q263" s="64"/>
      <c r="R263" s="64"/>
      <c r="S263" s="64"/>
      <c r="T263" s="64"/>
      <c r="U263" s="64"/>
      <c r="V263" s="64"/>
      <c r="W263" s="64"/>
      <c r="X263" s="280">
        <v>20</v>
      </c>
      <c r="Y263" s="697" t="s">
        <v>561</v>
      </c>
      <c r="Z263" s="227">
        <v>730</v>
      </c>
      <c r="AA263" s="227">
        <v>630</v>
      </c>
      <c r="AB263" s="227">
        <v>430</v>
      </c>
      <c r="AC263" s="227">
        <v>430</v>
      </c>
      <c r="AD263" s="228">
        <v>330</v>
      </c>
      <c r="AE263" s="124"/>
      <c r="AF263" s="124"/>
      <c r="AG263" s="66"/>
      <c r="AH263" s="79"/>
      <c r="AI263" s="280">
        <v>20</v>
      </c>
      <c r="AJ263" s="308"/>
      <c r="AK263" s="227"/>
      <c r="AL263" s="227"/>
      <c r="AM263" s="227"/>
      <c r="AN263" s="227"/>
      <c r="AO263" s="228"/>
      <c r="AP263" s="64"/>
      <c r="AQ263" s="79"/>
      <c r="AR263" s="79"/>
      <c r="AS263" s="79"/>
      <c r="AT263" s="66"/>
      <c r="AU263" s="79"/>
      <c r="AV263" s="79"/>
      <c r="AW263" s="79"/>
      <c r="AX263" s="79"/>
      <c r="AY263" s="79"/>
      <c r="AZ263" s="66"/>
      <c r="BA263" s="161"/>
      <c r="BB263" s="161"/>
      <c r="BC263" s="161"/>
      <c r="BD263" s="325"/>
      <c r="BE263" s="147"/>
      <c r="BF263" s="64"/>
    </row>
    <row r="264" spans="10:58" ht="18" customHeight="1" x14ac:dyDescent="0.2">
      <c r="N264" s="64"/>
      <c r="O264" s="64"/>
      <c r="P264" s="64"/>
      <c r="Q264" s="64"/>
      <c r="R264" s="64"/>
      <c r="S264" s="64"/>
      <c r="T264" s="64"/>
      <c r="U264" s="64"/>
      <c r="V264" s="64"/>
      <c r="W264" s="64"/>
      <c r="X264" s="335"/>
      <c r="Y264" s="79"/>
      <c r="Z264" s="79"/>
      <c r="AA264" s="79"/>
      <c r="AB264" s="79"/>
      <c r="AC264" s="79"/>
      <c r="AD264" s="79"/>
      <c r="AE264" s="124"/>
      <c r="AF264" s="124"/>
      <c r="AG264" s="79"/>
      <c r="AH264" s="79"/>
      <c r="AI264" s="79"/>
      <c r="AJ264" s="79"/>
      <c r="AK264" s="79"/>
      <c r="AL264" s="79"/>
      <c r="AM264" s="79"/>
      <c r="AN264" s="79"/>
      <c r="AO264" s="79"/>
      <c r="AP264" s="70"/>
      <c r="AQ264" s="70"/>
      <c r="AR264" s="70"/>
      <c r="AS264" s="70"/>
      <c r="AT264" s="70"/>
      <c r="AU264" s="70"/>
      <c r="AV264" s="70"/>
      <c r="AW264" s="70"/>
      <c r="AX264" s="70"/>
      <c r="AY264" s="70"/>
      <c r="AZ264" s="70"/>
      <c r="BA264" s="70"/>
      <c r="BB264" s="70"/>
      <c r="BC264" s="70"/>
      <c r="BD264" s="243"/>
      <c r="BE264" s="147"/>
      <c r="BF264" s="64"/>
    </row>
    <row r="265" spans="10:58" ht="18" customHeight="1" x14ac:dyDescent="0.2">
      <c r="N265" s="64"/>
      <c r="O265" s="64"/>
      <c r="P265" s="64"/>
      <c r="Q265" s="64"/>
      <c r="R265" s="64"/>
      <c r="S265" s="64"/>
      <c r="T265" s="64"/>
      <c r="U265" s="64"/>
      <c r="V265" s="64"/>
      <c r="W265" s="64"/>
      <c r="X265" s="278" t="s">
        <v>143</v>
      </c>
      <c r="Y265" s="301">
        <v>16</v>
      </c>
      <c r="Z265" s="302">
        <v>12.6</v>
      </c>
      <c r="AA265" s="302">
        <v>10.8</v>
      </c>
      <c r="AB265" s="302">
        <v>7.2</v>
      </c>
      <c r="AC265" s="302">
        <v>5.4</v>
      </c>
      <c r="AD265" s="303">
        <v>3.6</v>
      </c>
      <c r="AE265" s="124"/>
      <c r="AF265" s="124"/>
      <c r="AG265" s="79"/>
      <c r="AH265" s="79"/>
      <c r="AI265" s="79"/>
      <c r="AJ265" s="79"/>
      <c r="AK265" s="79"/>
      <c r="AL265" s="79"/>
      <c r="AM265" s="79"/>
      <c r="AN265" s="79"/>
      <c r="AO265" s="79"/>
      <c r="AP265" s="70"/>
      <c r="AQ265" s="70"/>
      <c r="AR265" s="70"/>
      <c r="AS265" s="70"/>
      <c r="AT265" s="70"/>
      <c r="AU265" s="70"/>
      <c r="AV265" s="70"/>
      <c r="AW265" s="70"/>
      <c r="AX265" s="70"/>
      <c r="AY265" s="70"/>
      <c r="AZ265" s="70"/>
      <c r="BA265" s="70"/>
      <c r="BB265" s="70"/>
      <c r="BC265" s="70"/>
      <c r="BD265" s="243"/>
      <c r="BE265" s="147"/>
      <c r="BF265" s="64"/>
    </row>
    <row r="266" spans="10:58" ht="18" customHeight="1" x14ac:dyDescent="0.2">
      <c r="Q266" s="50"/>
      <c r="R266" s="50"/>
      <c r="T266" s="64"/>
      <c r="U266" s="64"/>
      <c r="V266" s="64"/>
      <c r="X266" s="1171">
        <v>5</v>
      </c>
      <c r="Y266" s="304">
        <v>379</v>
      </c>
      <c r="Z266" s="305">
        <v>337</v>
      </c>
      <c r="AA266" s="305">
        <v>337</v>
      </c>
      <c r="AB266" s="305">
        <v>297</v>
      </c>
      <c r="AC266" s="305">
        <v>297</v>
      </c>
      <c r="AD266" s="306">
        <v>297</v>
      </c>
      <c r="AE266" s="124"/>
      <c r="AF266" s="124"/>
      <c r="AG266" s="79"/>
      <c r="AH266" s="79"/>
      <c r="AI266" s="79"/>
      <c r="AJ266" s="79"/>
      <c r="AK266" s="79"/>
      <c r="AL266" s="79"/>
      <c r="AM266" s="79"/>
      <c r="AN266" s="79"/>
      <c r="AO266" s="79"/>
      <c r="AP266" s="70"/>
      <c r="AQ266" s="70"/>
      <c r="AR266" s="70"/>
      <c r="AS266" s="70"/>
      <c r="AT266" s="70"/>
      <c r="AU266" s="70"/>
      <c r="AV266" s="70"/>
      <c r="AW266" s="70"/>
      <c r="AX266" s="70"/>
      <c r="AY266" s="70"/>
      <c r="AZ266" s="70"/>
      <c r="BA266" s="70"/>
      <c r="BB266" s="70"/>
      <c r="BC266" s="70"/>
      <c r="BD266" s="243"/>
      <c r="BE266" s="147"/>
      <c r="BF266" s="64"/>
    </row>
    <row r="267" spans="10:58" ht="18" customHeight="1" x14ac:dyDescent="0.2">
      <c r="Q267" s="50"/>
      <c r="R267" s="50"/>
      <c r="X267" s="1171">
        <v>10</v>
      </c>
      <c r="Y267" s="307">
        <v>423</v>
      </c>
      <c r="Z267" s="149">
        <v>379</v>
      </c>
      <c r="AA267" s="149">
        <v>337</v>
      </c>
      <c r="AB267" s="149">
        <v>297</v>
      </c>
      <c r="AC267" s="149">
        <v>297</v>
      </c>
      <c r="AD267" s="226">
        <v>297</v>
      </c>
      <c r="AE267" s="124"/>
      <c r="AF267" s="124"/>
      <c r="AG267" s="79"/>
      <c r="AH267" s="79"/>
      <c r="AI267" s="79"/>
      <c r="AJ267" s="79"/>
      <c r="AK267" s="79"/>
      <c r="AL267" s="79"/>
      <c r="AM267" s="79"/>
      <c r="AN267" s="79"/>
      <c r="AO267" s="79"/>
      <c r="AP267" s="70"/>
      <c r="AQ267" s="70"/>
      <c r="AR267" s="70"/>
      <c r="AS267" s="70"/>
      <c r="AT267" s="70"/>
      <c r="AU267" s="70"/>
      <c r="AV267" s="70"/>
      <c r="AW267" s="70"/>
      <c r="AX267" s="70"/>
      <c r="AY267" s="70"/>
      <c r="AZ267" s="70"/>
      <c r="BA267" s="70"/>
      <c r="BB267" s="70"/>
      <c r="BC267" s="70"/>
      <c r="BD267" s="243"/>
      <c r="BE267" s="147"/>
      <c r="BF267" s="64"/>
    </row>
    <row r="268" spans="10:58" ht="18" customHeight="1" x14ac:dyDescent="0.2">
      <c r="X268" s="1171">
        <v>15</v>
      </c>
      <c r="Y268" s="307">
        <v>516</v>
      </c>
      <c r="Z268" s="149">
        <v>423</v>
      </c>
      <c r="AA268" s="149">
        <v>379</v>
      </c>
      <c r="AB268" s="149">
        <v>337</v>
      </c>
      <c r="AC268" s="149">
        <v>297</v>
      </c>
      <c r="AD268" s="226">
        <v>297</v>
      </c>
      <c r="AE268" s="124"/>
      <c r="AF268" s="124"/>
      <c r="AG268" s="79"/>
      <c r="AH268" s="79"/>
      <c r="AI268" s="79"/>
      <c r="AJ268" s="330"/>
      <c r="AK268" s="79"/>
      <c r="AL268" s="79"/>
      <c r="AM268" s="79"/>
      <c r="AN268" s="79"/>
      <c r="AO268" s="79"/>
      <c r="AP268" s="70"/>
      <c r="AQ268" s="70"/>
      <c r="AR268" s="70"/>
      <c r="AS268" s="70"/>
      <c r="AT268" s="70"/>
      <c r="AU268" s="70"/>
      <c r="AV268" s="70"/>
      <c r="AW268" s="70"/>
      <c r="AX268" s="70"/>
      <c r="AY268" s="70"/>
      <c r="AZ268" s="70"/>
      <c r="BA268" s="70"/>
      <c r="BB268" s="70"/>
      <c r="BC268" s="70"/>
      <c r="BD268" s="243"/>
      <c r="BE268" s="147"/>
      <c r="BF268" s="64"/>
    </row>
    <row r="269" spans="10:58" ht="18" customHeight="1" x14ac:dyDescent="0.2">
      <c r="J269" s="51"/>
      <c r="O269" s="51"/>
      <c r="P269" s="51"/>
      <c r="X269" s="280">
        <v>20</v>
      </c>
      <c r="Y269" s="697" t="s">
        <v>561</v>
      </c>
      <c r="Z269" s="227">
        <v>468</v>
      </c>
      <c r="AA269" s="227">
        <v>423</v>
      </c>
      <c r="AB269" s="227">
        <v>337</v>
      </c>
      <c r="AC269" s="227">
        <v>337</v>
      </c>
      <c r="AD269" s="228">
        <v>297</v>
      </c>
      <c r="AE269" s="124"/>
      <c r="AF269" s="124"/>
      <c r="AG269" s="79"/>
      <c r="AH269" s="79"/>
      <c r="AI269" s="79"/>
      <c r="AJ269" s="330"/>
      <c r="AK269" s="79"/>
      <c r="AL269" s="79"/>
      <c r="AM269" s="79"/>
      <c r="AN269" s="79"/>
      <c r="AO269" s="79"/>
      <c r="AP269" s="70"/>
      <c r="AQ269" s="70"/>
      <c r="AR269" s="70"/>
      <c r="AS269" s="70"/>
      <c r="AT269" s="70"/>
      <c r="AU269" s="70"/>
      <c r="AV269" s="70"/>
      <c r="AW269" s="70"/>
      <c r="AX269" s="70"/>
      <c r="AY269" s="70"/>
      <c r="AZ269" s="70"/>
      <c r="BA269" s="70"/>
      <c r="BB269" s="70"/>
      <c r="BC269" s="70"/>
      <c r="BD269" s="243"/>
      <c r="BE269" s="147"/>
      <c r="BF269" s="64"/>
    </row>
    <row r="270" spans="10:58" ht="18" customHeight="1" thickBot="1" x14ac:dyDescent="0.25">
      <c r="J270" s="51"/>
      <c r="O270" s="51"/>
      <c r="P270" s="51"/>
      <c r="X270" s="333"/>
      <c r="Y270" s="124"/>
      <c r="Z270" s="124"/>
      <c r="AA270" s="124"/>
      <c r="AB270" s="124"/>
      <c r="AC270" s="124"/>
      <c r="AD270" s="124"/>
      <c r="AE270" s="124"/>
      <c r="AF270" s="124"/>
      <c r="AG270" s="124"/>
      <c r="AH270" s="124"/>
      <c r="AI270" s="124"/>
      <c r="AJ270" s="124"/>
      <c r="AK270" s="124"/>
      <c r="AL270" s="124"/>
      <c r="AM270" s="124"/>
      <c r="AN270" s="124"/>
      <c r="AO270" s="124"/>
      <c r="AP270" s="64"/>
      <c r="AQ270" s="64"/>
      <c r="AR270" s="64"/>
      <c r="AS270" s="64"/>
      <c r="AT270" s="64"/>
      <c r="AU270" s="64"/>
      <c r="AV270" s="64"/>
      <c r="AW270" s="64"/>
      <c r="AX270" s="64"/>
      <c r="AY270" s="64"/>
      <c r="AZ270" s="64"/>
      <c r="BA270" s="64"/>
      <c r="BB270" s="64"/>
      <c r="BC270" s="64"/>
      <c r="BD270" s="78"/>
      <c r="BE270" s="147"/>
      <c r="BF270" s="64"/>
    </row>
    <row r="271" spans="10:58" ht="18" customHeight="1" thickBot="1" x14ac:dyDescent="0.25">
      <c r="J271" s="51"/>
      <c r="O271" s="51"/>
      <c r="P271" s="51"/>
      <c r="X271" s="254" t="s">
        <v>419</v>
      </c>
      <c r="Y271" s="255"/>
      <c r="Z271" s="255"/>
      <c r="AA271" s="255"/>
      <c r="AB271" s="255"/>
      <c r="AC271" s="255"/>
      <c r="AD271" s="255"/>
      <c r="AE271" s="255"/>
      <c r="AF271" s="255"/>
      <c r="AG271" s="255"/>
      <c r="AH271" s="255"/>
      <c r="AI271" s="255"/>
      <c r="AJ271" s="255"/>
      <c r="AK271" s="255"/>
      <c r="AL271" s="255"/>
      <c r="AM271" s="255"/>
      <c r="AN271" s="255"/>
      <c r="AO271" s="255"/>
      <c r="AP271" s="255"/>
      <c r="AQ271" s="255"/>
      <c r="AR271" s="255"/>
      <c r="AS271" s="255"/>
      <c r="AT271" s="255"/>
      <c r="AU271" s="255"/>
      <c r="AV271" s="255"/>
      <c r="AW271" s="255"/>
      <c r="AX271" s="255"/>
      <c r="AY271" s="255"/>
      <c r="AZ271" s="255"/>
      <c r="BA271" s="255"/>
      <c r="BB271" s="255"/>
      <c r="BC271" s="255"/>
      <c r="BD271" s="256"/>
      <c r="BE271" s="147"/>
      <c r="BF271" s="64"/>
    </row>
    <row r="272" spans="10:58" ht="18" customHeight="1" x14ac:dyDescent="0.2">
      <c r="J272" s="51"/>
      <c r="O272" s="51"/>
      <c r="P272" s="51"/>
      <c r="X272" s="334"/>
      <c r="Y272" s="148"/>
      <c r="Z272" s="154"/>
      <c r="AA272" s="154"/>
      <c r="AB272" s="154"/>
      <c r="AC272" s="154"/>
      <c r="AD272" s="154"/>
      <c r="AE272" s="148"/>
      <c r="AF272" s="154"/>
      <c r="AG272" s="154"/>
      <c r="AH272" s="154"/>
      <c r="AI272" s="154"/>
      <c r="AJ272" s="154"/>
      <c r="AK272" s="154"/>
      <c r="AL272" s="154"/>
      <c r="AM272" s="154"/>
      <c r="AN272" s="154"/>
      <c r="AO272" s="154"/>
      <c r="AP272" s="151"/>
      <c r="AQ272" s="151"/>
      <c r="AR272" s="151"/>
      <c r="AS272" s="151"/>
      <c r="AT272" s="151"/>
      <c r="AU272" s="151"/>
      <c r="AV272" s="151"/>
      <c r="AW272" s="151"/>
      <c r="AX272" s="151"/>
      <c r="AY272" s="151"/>
      <c r="AZ272" s="151"/>
      <c r="BA272" s="151"/>
      <c r="BB272" s="151"/>
      <c r="BC272" s="151"/>
      <c r="BD272" s="321"/>
      <c r="BE272" s="147"/>
      <c r="BF272" s="64"/>
    </row>
    <row r="273" spans="10:58" ht="18" customHeight="1" x14ac:dyDescent="0.2">
      <c r="J273" s="51"/>
      <c r="O273" s="51"/>
      <c r="P273" s="51"/>
      <c r="X273" s="278" t="s">
        <v>141</v>
      </c>
      <c r="Y273" s="301">
        <v>16</v>
      </c>
      <c r="Z273" s="302">
        <v>12.6</v>
      </c>
      <c r="AA273" s="302">
        <v>10.8</v>
      </c>
      <c r="AB273" s="302">
        <v>7.2</v>
      </c>
      <c r="AC273" s="302">
        <v>5.4</v>
      </c>
      <c r="AD273" s="303">
        <v>3.6</v>
      </c>
      <c r="AE273" s="172"/>
      <c r="AF273" s="172"/>
      <c r="AG273" s="148"/>
      <c r="AH273" s="154"/>
      <c r="AI273" s="278" t="s">
        <v>292</v>
      </c>
      <c r="AJ273" s="301">
        <v>16</v>
      </c>
      <c r="AK273" s="302">
        <v>12.6</v>
      </c>
      <c r="AL273" s="302">
        <v>10.8</v>
      </c>
      <c r="AM273" s="302">
        <v>7.2</v>
      </c>
      <c r="AN273" s="302">
        <v>5.4</v>
      </c>
      <c r="AO273" s="303">
        <v>3.6</v>
      </c>
      <c r="AP273" s="57"/>
      <c r="AQ273" s="151"/>
      <c r="AR273" s="151"/>
      <c r="AS273" s="151"/>
      <c r="AT273" s="151"/>
      <c r="AU273" s="151"/>
      <c r="AV273" s="151"/>
      <c r="AW273" s="151"/>
      <c r="AX273" s="151"/>
      <c r="AY273" s="151"/>
      <c r="AZ273" s="151"/>
      <c r="BA273" s="151"/>
      <c r="BB273" s="151"/>
      <c r="BC273" s="151"/>
      <c r="BD273" s="321"/>
      <c r="BE273" s="147"/>
      <c r="BF273" s="64"/>
    </row>
    <row r="274" spans="10:58" ht="18" customHeight="1" x14ac:dyDescent="0.2">
      <c r="J274" s="51"/>
      <c r="K274" s="51"/>
      <c r="L274" s="51"/>
      <c r="M274" s="51"/>
      <c r="N274" s="51"/>
      <c r="O274" s="51"/>
      <c r="P274" s="51"/>
      <c r="X274" s="1171">
        <v>5</v>
      </c>
      <c r="Y274" s="304"/>
      <c r="Z274" s="305"/>
      <c r="AA274" s="305">
        <v>153</v>
      </c>
      <c r="AB274" s="305">
        <v>153</v>
      </c>
      <c r="AC274" s="305">
        <v>110</v>
      </c>
      <c r="AD274" s="306">
        <v>70</v>
      </c>
      <c r="AE274" s="172"/>
      <c r="AF274" s="172"/>
      <c r="AG274" s="148"/>
      <c r="AH274" s="154"/>
      <c r="AI274" s="1171">
        <v>5</v>
      </c>
      <c r="AJ274" s="304"/>
      <c r="AK274" s="305"/>
      <c r="AL274" s="305">
        <v>21.3</v>
      </c>
      <c r="AM274" s="305">
        <v>21.3</v>
      </c>
      <c r="AN274" s="305">
        <v>17.7</v>
      </c>
      <c r="AO274" s="306">
        <v>12.27</v>
      </c>
      <c r="AP274" s="57"/>
      <c r="AQ274" s="151"/>
      <c r="AR274" s="151"/>
      <c r="AS274" s="151"/>
      <c r="AT274" s="151"/>
      <c r="AU274" s="151"/>
      <c r="AV274" s="151"/>
      <c r="AW274" s="151"/>
      <c r="AX274" s="151"/>
      <c r="AY274" s="151"/>
      <c r="AZ274" s="151"/>
      <c r="BA274" s="151"/>
      <c r="BB274" s="151"/>
      <c r="BC274" s="151"/>
      <c r="BD274" s="321"/>
      <c r="BE274" s="147"/>
      <c r="BF274" s="64"/>
    </row>
    <row r="275" spans="10:58" ht="18" customHeight="1" x14ac:dyDescent="0.2">
      <c r="J275" s="51"/>
      <c r="K275" s="51"/>
      <c r="L275" s="51"/>
      <c r="M275" s="51"/>
      <c r="N275" s="51"/>
      <c r="O275" s="51"/>
      <c r="P275" s="51"/>
      <c r="X275" s="1171">
        <v>10</v>
      </c>
      <c r="Y275" s="307"/>
      <c r="Z275" s="149"/>
      <c r="AA275" s="149"/>
      <c r="AB275" s="149"/>
      <c r="AC275" s="149"/>
      <c r="AD275" s="226"/>
      <c r="AE275" s="172"/>
      <c r="AF275" s="172"/>
      <c r="AG275" s="148"/>
      <c r="AH275" s="154"/>
      <c r="AI275" s="1171">
        <v>10</v>
      </c>
      <c r="AJ275" s="307"/>
      <c r="AK275" s="149"/>
      <c r="AL275" s="149"/>
      <c r="AM275" s="149"/>
      <c r="AN275" s="149">
        <v>19</v>
      </c>
      <c r="AO275" s="226">
        <v>13.6</v>
      </c>
      <c r="AP275" s="57"/>
      <c r="AQ275" s="151"/>
      <c r="AR275" s="151"/>
      <c r="AS275" s="151"/>
      <c r="AT275" s="151"/>
      <c r="AU275" s="151"/>
      <c r="AV275" s="151"/>
      <c r="AW275" s="151"/>
      <c r="AX275" s="151"/>
      <c r="AY275" s="151"/>
      <c r="AZ275" s="151"/>
      <c r="BA275" s="151"/>
      <c r="BB275" s="151"/>
      <c r="BC275" s="151"/>
      <c r="BD275" s="321"/>
      <c r="BE275" s="147"/>
      <c r="BF275" s="64"/>
    </row>
    <row r="276" spans="10:58" ht="18" customHeight="1" x14ac:dyDescent="0.2">
      <c r="J276" s="51"/>
      <c r="K276" s="51"/>
      <c r="L276" s="51"/>
      <c r="M276" s="51"/>
      <c r="N276" s="51"/>
      <c r="O276" s="51"/>
      <c r="P276" s="51"/>
      <c r="X276" s="1171">
        <v>15</v>
      </c>
      <c r="Y276" s="307"/>
      <c r="Z276" s="149"/>
      <c r="AA276" s="149"/>
      <c r="AB276" s="149"/>
      <c r="AC276" s="149"/>
      <c r="AD276" s="226"/>
      <c r="AE276" s="172"/>
      <c r="AF276" s="172"/>
      <c r="AG276" s="148"/>
      <c r="AH276" s="154"/>
      <c r="AI276" s="1171">
        <v>15</v>
      </c>
      <c r="AJ276" s="307"/>
      <c r="AK276" s="149"/>
      <c r="AL276" s="149"/>
      <c r="AM276" s="149"/>
      <c r="AN276" s="149"/>
      <c r="AO276" s="226"/>
      <c r="AP276" s="57"/>
      <c r="AQ276" s="908"/>
      <c r="AR276" s="148"/>
      <c r="AS276" s="148"/>
      <c r="AT276" s="148"/>
      <c r="AU276" s="151"/>
      <c r="AV276" s="151"/>
      <c r="AW276" s="151"/>
      <c r="AX276" s="151"/>
      <c r="AY276" s="151"/>
      <c r="AZ276" s="151"/>
      <c r="BA276" s="151"/>
      <c r="BB276" s="151"/>
      <c r="BC276" s="151"/>
      <c r="BD276" s="321"/>
      <c r="BE276" s="147"/>
      <c r="BF276" s="64"/>
    </row>
    <row r="277" spans="10:58" ht="18" customHeight="1" x14ac:dyDescent="0.2">
      <c r="J277" s="51"/>
      <c r="K277" s="51"/>
      <c r="L277" s="51"/>
      <c r="M277" s="51"/>
      <c r="N277" s="51"/>
      <c r="O277" s="51"/>
      <c r="P277" s="51"/>
      <c r="X277" s="280">
        <v>20</v>
      </c>
      <c r="Y277" s="697"/>
      <c r="Z277" s="227"/>
      <c r="AA277" s="227"/>
      <c r="AB277" s="227"/>
      <c r="AC277" s="227"/>
      <c r="AD277" s="228"/>
      <c r="AE277" s="172"/>
      <c r="AF277" s="172"/>
      <c r="AG277" s="148"/>
      <c r="AH277" s="154"/>
      <c r="AI277" s="280">
        <v>20</v>
      </c>
      <c r="AJ277" s="697"/>
      <c r="AK277" s="227"/>
      <c r="AL277" s="227"/>
      <c r="AM277" s="227"/>
      <c r="AN277" s="227"/>
      <c r="AO277" s="228"/>
      <c r="AP277" s="57"/>
      <c r="AQ277" s="851"/>
      <c r="AR277" s="851"/>
      <c r="AS277" s="851"/>
      <c r="AT277" s="851"/>
      <c r="AU277" s="151"/>
      <c r="AV277" s="151"/>
      <c r="AW277" s="151"/>
      <c r="AX277" s="151"/>
      <c r="AY277" s="151"/>
      <c r="AZ277" s="151"/>
      <c r="BA277" s="151"/>
      <c r="BB277" s="151"/>
      <c r="BC277" s="151"/>
      <c r="BD277" s="321"/>
      <c r="BE277" s="147"/>
      <c r="BF277" s="64"/>
    </row>
    <row r="278" spans="10:58" ht="18" customHeight="1" thickBot="1" x14ac:dyDescent="0.25">
      <c r="O278" s="51"/>
      <c r="P278" s="51"/>
      <c r="X278" s="909"/>
      <c r="Y278" s="154"/>
      <c r="Z278" s="154"/>
      <c r="AA278" s="154"/>
      <c r="AB278" s="154"/>
      <c r="AC278" s="154"/>
      <c r="AD278" s="154"/>
      <c r="AE278" s="172"/>
      <c r="AF278" s="172"/>
      <c r="AG278" s="154"/>
      <c r="AH278" s="154"/>
      <c r="AI278" s="154"/>
      <c r="AJ278" s="154"/>
      <c r="AK278" s="154"/>
      <c r="AL278" s="154"/>
      <c r="AM278" s="154"/>
      <c r="AN278" s="154"/>
      <c r="AO278" s="154"/>
      <c r="AP278" s="151"/>
      <c r="AQ278" s="851"/>
      <c r="AR278" s="851"/>
      <c r="AS278" s="851"/>
      <c r="AT278" s="851"/>
      <c r="AU278" s="151"/>
      <c r="AV278" s="151"/>
      <c r="AW278" s="151"/>
      <c r="AX278" s="151"/>
      <c r="AY278" s="151"/>
      <c r="AZ278" s="151"/>
      <c r="BA278" s="151"/>
      <c r="BB278" s="151"/>
      <c r="BC278" s="151"/>
      <c r="BD278" s="321"/>
      <c r="BF278" s="64"/>
    </row>
    <row r="279" spans="10:58" ht="18" customHeight="1" thickBot="1" x14ac:dyDescent="0.25">
      <c r="J279" s="51"/>
      <c r="K279" s="51"/>
      <c r="L279" s="51"/>
      <c r="M279" s="51"/>
      <c r="N279" s="51"/>
      <c r="O279" s="51"/>
      <c r="P279" s="51"/>
      <c r="X279" s="254" t="s">
        <v>200</v>
      </c>
      <c r="Y279" s="255"/>
      <c r="Z279" s="255"/>
      <c r="AA279" s="255"/>
      <c r="AB279" s="255"/>
      <c r="AC279" s="255"/>
      <c r="AD279" s="255"/>
      <c r="AE279" s="255"/>
      <c r="AF279" s="255"/>
      <c r="AG279" s="255"/>
      <c r="AH279" s="255"/>
      <c r="AI279" s="255"/>
      <c r="AJ279" s="255"/>
      <c r="AK279" s="255"/>
      <c r="AL279" s="255"/>
      <c r="AM279" s="255"/>
      <c r="AN279" s="255"/>
      <c r="AO279" s="255"/>
      <c r="AP279" s="255"/>
      <c r="AQ279" s="255"/>
      <c r="AR279" s="255"/>
      <c r="AS279" s="255"/>
      <c r="AT279" s="255"/>
      <c r="AU279" s="255"/>
      <c r="AV279" s="255"/>
      <c r="AW279" s="255"/>
      <c r="AX279" s="255"/>
      <c r="AY279" s="255"/>
      <c r="AZ279" s="255"/>
      <c r="BA279" s="255"/>
      <c r="BB279" s="255"/>
      <c r="BC279" s="255"/>
      <c r="BD279" s="256"/>
      <c r="BE279" s="147"/>
      <c r="BF279" s="64"/>
    </row>
    <row r="280" spans="10:58" ht="18" customHeight="1" x14ac:dyDescent="0.2">
      <c r="J280" s="51"/>
      <c r="K280" s="51"/>
      <c r="L280" s="51"/>
      <c r="M280" s="51"/>
      <c r="N280" s="51"/>
      <c r="O280" s="51"/>
      <c r="P280" s="51"/>
      <c r="X280" s="909"/>
      <c r="Y280" s="154"/>
      <c r="Z280" s="154"/>
      <c r="AA280" s="154"/>
      <c r="AB280" s="154"/>
      <c r="AC280" s="154"/>
      <c r="AD280" s="154"/>
      <c r="AE280" s="172"/>
      <c r="AF280" s="172"/>
      <c r="AG280" s="154"/>
      <c r="AH280" s="154"/>
      <c r="AI280" s="154"/>
      <c r="AJ280" s="154"/>
      <c r="AK280" s="154"/>
      <c r="AL280" s="154"/>
      <c r="AM280" s="154"/>
      <c r="AN280" s="172"/>
      <c r="AO280" s="154"/>
      <c r="AP280" s="151"/>
      <c r="AQ280" s="151"/>
      <c r="AR280" s="151"/>
      <c r="AS280" s="151"/>
      <c r="AT280" s="151"/>
      <c r="AU280" s="151"/>
      <c r="AV280" s="151"/>
      <c r="AW280" s="151"/>
      <c r="AX280" s="151"/>
      <c r="AY280" s="151"/>
      <c r="AZ280" s="151"/>
      <c r="BA280" s="151"/>
      <c r="BB280" s="151"/>
      <c r="BC280" s="151"/>
      <c r="BD280" s="321"/>
      <c r="BE280" s="147"/>
      <c r="BF280" s="64"/>
    </row>
    <row r="281" spans="10:58" ht="18" customHeight="1" x14ac:dyDescent="0.2">
      <c r="J281" s="51"/>
      <c r="K281" s="51"/>
      <c r="L281" s="51"/>
      <c r="M281" s="51"/>
      <c r="N281" s="51"/>
      <c r="O281" s="51"/>
      <c r="P281" s="51"/>
      <c r="X281" s="278" t="s">
        <v>141</v>
      </c>
      <c r="Y281" s="301">
        <v>16</v>
      </c>
      <c r="Z281" s="302">
        <v>12.6</v>
      </c>
      <c r="AA281" s="302">
        <v>10.8</v>
      </c>
      <c r="AB281" s="302">
        <v>7.2</v>
      </c>
      <c r="AC281" s="302">
        <v>5.4</v>
      </c>
      <c r="AD281" s="303">
        <v>3.6</v>
      </c>
      <c r="AE281" s="172"/>
      <c r="AF281" s="172"/>
      <c r="AG281" s="154"/>
      <c r="AH281" s="154"/>
      <c r="AI281" s="278" t="s">
        <v>292</v>
      </c>
      <c r="AJ281" s="301">
        <v>16</v>
      </c>
      <c r="AK281" s="302">
        <v>12.6</v>
      </c>
      <c r="AL281" s="302">
        <v>10.8</v>
      </c>
      <c r="AM281" s="302">
        <v>7.2</v>
      </c>
      <c r="AN281" s="302">
        <v>5.4</v>
      </c>
      <c r="AO281" s="303">
        <v>3.6</v>
      </c>
      <c r="AP281" s="57"/>
      <c r="AQ281" s="326" t="s">
        <v>173</v>
      </c>
      <c r="AR281" s="1185"/>
      <c r="AS281" s="327">
        <v>32</v>
      </c>
      <c r="AT281" s="328" t="s">
        <v>137</v>
      </c>
      <c r="AU281" s="154"/>
      <c r="AV281" s="154"/>
      <c r="AW281" s="154"/>
      <c r="AX281" s="154"/>
      <c r="AY281" s="154"/>
      <c r="AZ281" s="154"/>
      <c r="BA281" s="154"/>
      <c r="BB281" s="154"/>
      <c r="BC281" s="154"/>
      <c r="BD281" s="322"/>
      <c r="BE281" s="147"/>
      <c r="BF281" s="64"/>
    </row>
    <row r="282" spans="10:58" ht="18" customHeight="1" x14ac:dyDescent="0.2">
      <c r="J282" s="51"/>
      <c r="K282" s="51"/>
      <c r="L282" s="51"/>
      <c r="M282" s="51"/>
      <c r="N282" s="51"/>
      <c r="O282" s="51"/>
      <c r="P282" s="51"/>
      <c r="X282" s="1171">
        <v>5</v>
      </c>
      <c r="Y282" s="304"/>
      <c r="Z282" s="305"/>
      <c r="AA282" s="305">
        <v>553</v>
      </c>
      <c r="AB282" s="305">
        <v>553</v>
      </c>
      <c r="AC282" s="305">
        <v>453</v>
      </c>
      <c r="AD282" s="306">
        <v>373</v>
      </c>
      <c r="AE282" s="172"/>
      <c r="AF282" s="172"/>
      <c r="AG282" s="154"/>
      <c r="AH282" s="154"/>
      <c r="AI282" s="1171">
        <v>5</v>
      </c>
      <c r="AJ282" s="304"/>
      <c r="AK282" s="305"/>
      <c r="AL282" s="305">
        <v>15.5</v>
      </c>
      <c r="AM282" s="305">
        <v>15.5</v>
      </c>
      <c r="AN282" s="305">
        <v>15.5</v>
      </c>
      <c r="AO282" s="306">
        <v>15.5</v>
      </c>
      <c r="AP282" s="57"/>
      <c r="AQ282" s="1186" t="s">
        <v>174</v>
      </c>
      <c r="AR282" s="1187"/>
      <c r="AS282" s="1188">
        <v>106500</v>
      </c>
      <c r="AT282" s="1189" t="s">
        <v>128</v>
      </c>
      <c r="AU282" s="151"/>
      <c r="AV282" s="154"/>
      <c r="AW282" s="154"/>
      <c r="AX282" s="154"/>
      <c r="AY282" s="154"/>
      <c r="AZ282" s="154"/>
      <c r="BA282" s="154"/>
      <c r="BB282" s="154"/>
      <c r="BC282" s="154"/>
      <c r="BD282" s="321"/>
      <c r="BE282" s="147"/>
      <c r="BF282" s="64"/>
    </row>
    <row r="283" spans="10:58" ht="18" customHeight="1" x14ac:dyDescent="0.2">
      <c r="J283" s="51"/>
      <c r="K283" s="51"/>
      <c r="L283" s="51"/>
      <c r="M283" s="51"/>
      <c r="N283" s="51"/>
      <c r="O283" s="51"/>
      <c r="P283" s="51"/>
      <c r="X283" s="1171">
        <v>10</v>
      </c>
      <c r="Y283" s="307"/>
      <c r="Z283" s="149"/>
      <c r="AA283" s="149"/>
      <c r="AB283" s="149"/>
      <c r="AC283" s="149">
        <v>314</v>
      </c>
      <c r="AD283" s="226">
        <v>254</v>
      </c>
      <c r="AE283" s="172"/>
      <c r="AF283" s="172"/>
      <c r="AG283" s="154"/>
      <c r="AH283" s="154"/>
      <c r="AI283" s="1171">
        <v>10</v>
      </c>
      <c r="AJ283" s="307"/>
      <c r="AK283" s="149"/>
      <c r="AL283" s="149"/>
      <c r="AM283" s="149"/>
      <c r="AN283" s="149">
        <v>15.5</v>
      </c>
      <c r="AO283" s="226">
        <v>15.5</v>
      </c>
      <c r="AP283" s="57"/>
      <c r="AQ283" s="326" t="s">
        <v>182</v>
      </c>
      <c r="AR283" s="1185"/>
      <c r="AS283" s="327">
        <v>1000</v>
      </c>
      <c r="AT283" s="328" t="s">
        <v>130</v>
      </c>
      <c r="AU283" s="151"/>
      <c r="AV283" s="154"/>
      <c r="AW283" s="154"/>
      <c r="AX283" s="154"/>
      <c r="AY283" s="154"/>
      <c r="AZ283" s="154"/>
      <c r="BA283" s="154"/>
      <c r="BB283" s="154"/>
      <c r="BC283" s="154"/>
      <c r="BD283" s="322"/>
      <c r="BE283" s="147"/>
      <c r="BF283" s="64"/>
    </row>
    <row r="284" spans="10:58" ht="18" customHeight="1" x14ac:dyDescent="0.2">
      <c r="J284" s="51"/>
      <c r="K284" s="51"/>
      <c r="L284" s="51"/>
      <c r="M284" s="51"/>
      <c r="N284" s="51"/>
      <c r="O284" s="51"/>
      <c r="P284" s="51"/>
      <c r="X284" s="1171">
        <v>15</v>
      </c>
      <c r="Y284" s="307"/>
      <c r="Z284" s="149"/>
      <c r="AA284" s="149"/>
      <c r="AB284" s="149"/>
      <c r="AC284" s="149"/>
      <c r="AD284" s="226"/>
      <c r="AE284" s="172"/>
      <c r="AF284" s="172"/>
      <c r="AG284" s="154"/>
      <c r="AH284" s="154"/>
      <c r="AI284" s="1171">
        <v>15</v>
      </c>
      <c r="AJ284" s="307"/>
      <c r="AK284" s="149"/>
      <c r="AL284" s="149"/>
      <c r="AM284" s="149"/>
      <c r="AN284" s="149"/>
      <c r="AO284" s="226"/>
      <c r="AP284" s="57"/>
      <c r="AQ284" s="1190" t="s">
        <v>173</v>
      </c>
      <c r="AR284" s="1187"/>
      <c r="AS284" s="1191">
        <f>AS282/AS283*10^(-3)*AS281</f>
        <v>3.4079999999999999</v>
      </c>
      <c r="AT284" s="1192" t="s">
        <v>67</v>
      </c>
      <c r="AU284" s="151"/>
      <c r="AV284" s="154"/>
      <c r="AW284" s="154"/>
      <c r="AX284" s="154"/>
      <c r="AY284" s="154"/>
      <c r="AZ284" s="154"/>
      <c r="BA284" s="154"/>
      <c r="BB284" s="154"/>
      <c r="BC284" s="154"/>
      <c r="BD284" s="322"/>
      <c r="BE284" s="147"/>
      <c r="BF284" s="64"/>
    </row>
    <row r="285" spans="10:58" ht="18" customHeight="1" x14ac:dyDescent="0.2">
      <c r="J285" s="51"/>
      <c r="K285" s="51"/>
      <c r="L285" s="51"/>
      <c r="M285" s="51"/>
      <c r="N285" s="51"/>
      <c r="O285" s="51"/>
      <c r="P285" s="51"/>
      <c r="X285" s="280">
        <v>20</v>
      </c>
      <c r="Y285" s="697"/>
      <c r="Z285" s="227"/>
      <c r="AA285" s="227"/>
      <c r="AB285" s="227"/>
      <c r="AC285" s="227"/>
      <c r="AD285" s="228"/>
      <c r="AE285" s="172"/>
      <c r="AF285" s="172"/>
      <c r="AG285" s="154"/>
      <c r="AH285" s="154"/>
      <c r="AI285" s="280">
        <v>20</v>
      </c>
      <c r="AJ285" s="697"/>
      <c r="AK285" s="227"/>
      <c r="AL285" s="227"/>
      <c r="AM285" s="227"/>
      <c r="AN285" s="227"/>
      <c r="AO285" s="228"/>
      <c r="AP285" s="57"/>
      <c r="AQ285" s="326"/>
      <c r="AR285" s="1185"/>
      <c r="AS285" s="327"/>
      <c r="AT285" s="328"/>
      <c r="AU285" s="154"/>
      <c r="AV285" s="154"/>
      <c r="AW285" s="154"/>
      <c r="AX285" s="154"/>
      <c r="AY285" s="154"/>
      <c r="AZ285" s="154"/>
      <c r="BA285" s="154"/>
      <c r="BB285" s="154"/>
      <c r="BC285" s="154"/>
      <c r="BD285" s="322"/>
      <c r="BE285" s="147"/>
      <c r="BF285" s="64"/>
    </row>
    <row r="286" spans="10:58" ht="18" customHeight="1" x14ac:dyDescent="0.2">
      <c r="J286" s="51"/>
      <c r="K286" s="51"/>
      <c r="L286" s="51"/>
      <c r="M286" s="51"/>
      <c r="N286" s="51"/>
      <c r="O286" s="51"/>
      <c r="P286" s="51"/>
      <c r="X286" s="909"/>
      <c r="Y286" s="154"/>
      <c r="Z286" s="154"/>
      <c r="AA286" s="154"/>
      <c r="AB286" s="154"/>
      <c r="AC286" s="154"/>
      <c r="AD286" s="154"/>
      <c r="AE286" s="172"/>
      <c r="AF286" s="172"/>
      <c r="AG286" s="154"/>
      <c r="AH286" s="154"/>
      <c r="AI286" s="154"/>
      <c r="AJ286" s="154"/>
      <c r="AK286" s="154"/>
      <c r="AL286" s="154"/>
      <c r="AM286" s="154"/>
      <c r="AN286" s="154"/>
      <c r="AO286" s="154"/>
      <c r="AP286" s="57"/>
      <c r="AQ286" s="326" t="s">
        <v>280</v>
      </c>
      <c r="AR286" s="1185"/>
      <c r="AS286" s="327">
        <v>2</v>
      </c>
      <c r="AT286" s="328" t="s">
        <v>16</v>
      </c>
      <c r="AU286" s="154"/>
      <c r="AV286" s="154"/>
      <c r="AW286" s="154"/>
      <c r="AX286" s="154"/>
      <c r="AY286" s="154"/>
      <c r="AZ286" s="154"/>
      <c r="BA286" s="154"/>
      <c r="BB286" s="154"/>
      <c r="BC286" s="154"/>
      <c r="BD286" s="322"/>
      <c r="BE286" s="147"/>
      <c r="BF286" s="64"/>
    </row>
    <row r="287" spans="10:58" ht="18" customHeight="1" x14ac:dyDescent="0.2">
      <c r="J287" s="51"/>
      <c r="K287" s="51"/>
      <c r="L287" s="51"/>
      <c r="M287" s="51"/>
      <c r="N287" s="51"/>
      <c r="O287" s="51"/>
      <c r="P287" s="51"/>
      <c r="X287" s="278" t="s">
        <v>105</v>
      </c>
      <c r="Y287" s="301">
        <v>16</v>
      </c>
      <c r="Z287" s="302">
        <v>12.6</v>
      </c>
      <c r="AA287" s="302">
        <v>10.8</v>
      </c>
      <c r="AB287" s="302">
        <v>7.2</v>
      </c>
      <c r="AC287" s="302">
        <v>5.4</v>
      </c>
      <c r="AD287" s="303">
        <v>3.6</v>
      </c>
      <c r="AE287" s="172"/>
      <c r="AF287" s="172"/>
      <c r="AG287" s="154"/>
      <c r="AH287" s="154"/>
      <c r="AI287" s="165"/>
      <c r="AJ287" s="910"/>
      <c r="AK287" s="910"/>
      <c r="AL287" s="910"/>
      <c r="AM287" s="910"/>
      <c r="AN287" s="910"/>
      <c r="AO287" s="910"/>
      <c r="AP287" s="57"/>
      <c r="AQ287" s="151"/>
      <c r="AR287" s="151"/>
      <c r="AS287" s="151"/>
      <c r="AT287" s="151"/>
      <c r="AU287" s="151"/>
      <c r="AV287" s="151"/>
      <c r="AW287" s="151"/>
      <c r="AX287" s="151"/>
      <c r="AY287" s="151"/>
      <c r="AZ287" s="151"/>
      <c r="BA287" s="151"/>
      <c r="BB287" s="151"/>
      <c r="BC287" s="154"/>
      <c r="BD287" s="322"/>
      <c r="BE287" s="147"/>
      <c r="BF287" s="64"/>
    </row>
    <row r="288" spans="10:58" ht="18" customHeight="1" x14ac:dyDescent="0.2">
      <c r="J288" s="51"/>
      <c r="K288" s="51"/>
      <c r="L288" s="51"/>
      <c r="M288" s="51"/>
      <c r="N288" s="51"/>
      <c r="O288" s="51"/>
      <c r="P288" s="51"/>
      <c r="X288" s="1171">
        <v>5</v>
      </c>
      <c r="Y288" s="304"/>
      <c r="Z288" s="305"/>
      <c r="AA288" s="305">
        <v>7.8</v>
      </c>
      <c r="AB288" s="305">
        <v>7.8</v>
      </c>
      <c r="AC288" s="305">
        <v>4.8499999999999996</v>
      </c>
      <c r="AD288" s="306">
        <v>3.48</v>
      </c>
      <c r="AE288" s="172"/>
      <c r="AF288" s="172"/>
      <c r="AG288" s="154"/>
      <c r="AH288" s="154"/>
      <c r="AI288" s="165"/>
      <c r="AJ288" s="163"/>
      <c r="AK288" s="163"/>
      <c r="AL288" s="163"/>
      <c r="AM288" s="163"/>
      <c r="AN288" s="163"/>
      <c r="AO288" s="163"/>
      <c r="AP288" s="57"/>
      <c r="AQ288" s="151"/>
      <c r="AR288" s="151"/>
      <c r="AS288" s="151"/>
      <c r="AT288" s="151"/>
      <c r="AU288" s="151"/>
      <c r="AV288" s="151"/>
      <c r="AW288" s="151"/>
      <c r="AX288" s="151"/>
      <c r="AY288" s="151"/>
      <c r="AZ288" s="151"/>
      <c r="BA288" s="151"/>
      <c r="BB288" s="151"/>
      <c r="BC288" s="154"/>
      <c r="BD288" s="322"/>
      <c r="BE288" s="147"/>
      <c r="BF288" s="64"/>
    </row>
    <row r="289" spans="10:58" ht="18" customHeight="1" x14ac:dyDescent="0.2">
      <c r="J289" s="51"/>
      <c r="K289" s="51"/>
      <c r="L289" s="51"/>
      <c r="M289" s="51"/>
      <c r="N289" s="51"/>
      <c r="O289" s="51"/>
      <c r="P289" s="51"/>
      <c r="X289" s="1171">
        <v>10</v>
      </c>
      <c r="Y289" s="307"/>
      <c r="Z289" s="149"/>
      <c r="AA289" s="149"/>
      <c r="AB289" s="149"/>
      <c r="AC289" s="149"/>
      <c r="AD289" s="226"/>
      <c r="AE289" s="172"/>
      <c r="AF289" s="172"/>
      <c r="AG289" s="154"/>
      <c r="AH289" s="154"/>
      <c r="AI289" s="165"/>
      <c r="AJ289" s="163"/>
      <c r="AK289" s="163"/>
      <c r="AL289" s="163"/>
      <c r="AM289" s="163"/>
      <c r="AN289" s="163"/>
      <c r="AO289" s="163"/>
      <c r="AP289" s="57"/>
      <c r="AQ289" s="151"/>
      <c r="AR289" s="151"/>
      <c r="AS289" s="151"/>
      <c r="AT289" s="151"/>
      <c r="AU289" s="151"/>
      <c r="AV289" s="151"/>
      <c r="AW289" s="151"/>
      <c r="AX289" s="151"/>
      <c r="AY289" s="151"/>
      <c r="AZ289" s="151"/>
      <c r="BA289" s="151"/>
      <c r="BB289" s="151"/>
      <c r="BC289" s="154"/>
      <c r="BD289" s="322"/>
      <c r="BE289" s="147"/>
      <c r="BF289" s="64"/>
    </row>
    <row r="290" spans="10:58" ht="18" customHeight="1" x14ac:dyDescent="0.2">
      <c r="J290" s="51"/>
      <c r="K290" s="51"/>
      <c r="L290" s="51"/>
      <c r="M290" s="51"/>
      <c r="N290" s="51"/>
      <c r="O290" s="51"/>
      <c r="P290" s="51"/>
      <c r="X290" s="1171">
        <v>15</v>
      </c>
      <c r="Y290" s="307"/>
      <c r="Z290" s="149"/>
      <c r="AA290" s="149"/>
      <c r="AB290" s="149"/>
      <c r="AC290" s="149"/>
      <c r="AD290" s="226"/>
      <c r="AE290" s="172"/>
      <c r="AF290" s="172"/>
      <c r="AG290" s="154"/>
      <c r="AH290" s="154"/>
      <c r="AI290" s="165"/>
      <c r="AJ290" s="163"/>
      <c r="AK290" s="163"/>
      <c r="AL290" s="163"/>
      <c r="AM290" s="163"/>
      <c r="AN290" s="163"/>
      <c r="AO290" s="163"/>
      <c r="AP290" s="57"/>
      <c r="AQ290" s="151"/>
      <c r="AR290" s="151"/>
      <c r="AS290" s="151"/>
      <c r="AT290" s="151"/>
      <c r="AU290" s="151"/>
      <c r="AV290" s="151"/>
      <c r="AW290" s="151"/>
      <c r="AX290" s="151"/>
      <c r="AY290" s="151"/>
      <c r="AZ290" s="151"/>
      <c r="BA290" s="151"/>
      <c r="BB290" s="151"/>
      <c r="BC290" s="154"/>
      <c r="BD290" s="322"/>
      <c r="BE290" s="147"/>
      <c r="BF290" s="64"/>
    </row>
    <row r="291" spans="10:58" ht="18" customHeight="1" x14ac:dyDescent="0.2">
      <c r="J291" s="51"/>
      <c r="K291" s="51"/>
      <c r="L291" s="51"/>
      <c r="M291" s="51"/>
      <c r="N291" s="51"/>
      <c r="O291" s="51"/>
      <c r="P291" s="51"/>
      <c r="X291" s="280">
        <v>20</v>
      </c>
      <c r="Y291" s="697"/>
      <c r="Z291" s="227"/>
      <c r="AA291" s="227"/>
      <c r="AB291" s="227"/>
      <c r="AC291" s="227"/>
      <c r="AD291" s="228"/>
      <c r="AE291" s="172"/>
      <c r="AF291" s="172"/>
      <c r="AG291" s="148"/>
      <c r="AH291" s="148"/>
      <c r="AI291" s="165"/>
      <c r="AJ291" s="163"/>
      <c r="AK291" s="163"/>
      <c r="AL291" s="163"/>
      <c r="AM291" s="163"/>
      <c r="AN291" s="163"/>
      <c r="AO291" s="163"/>
      <c r="AP291" s="57"/>
      <c r="AQ291" s="151"/>
      <c r="AR291" s="154"/>
      <c r="AS291" s="154"/>
      <c r="AT291" s="154"/>
      <c r="AU291" s="154"/>
      <c r="AV291" s="154"/>
      <c r="AW291" s="154"/>
      <c r="AX291" s="154"/>
      <c r="AY291" s="154"/>
      <c r="AZ291" s="154"/>
      <c r="BA291" s="154"/>
      <c r="BB291" s="154"/>
      <c r="BC291" s="154"/>
      <c r="BD291" s="322"/>
      <c r="BF291" s="64"/>
    </row>
    <row r="292" spans="10:58" ht="18" customHeight="1" x14ac:dyDescent="0.2">
      <c r="J292" s="51"/>
      <c r="K292" s="51"/>
      <c r="L292" s="51"/>
      <c r="M292" s="51"/>
      <c r="N292" s="51"/>
      <c r="O292" s="51"/>
      <c r="P292" s="51"/>
      <c r="X292" s="1182"/>
      <c r="Y292" s="1181"/>
      <c r="Z292" s="1181"/>
      <c r="AA292" s="1181"/>
      <c r="AB292" s="1181"/>
      <c r="AC292" s="1181"/>
      <c r="AD292" s="1183"/>
      <c r="AE292" s="900"/>
      <c r="AF292" s="900"/>
      <c r="AG292" s="1181"/>
      <c r="AH292" s="1181"/>
      <c r="AI292" s="1181"/>
      <c r="AJ292" s="1184"/>
      <c r="AK292" s="1184"/>
      <c r="AL292" s="1184"/>
      <c r="AM292" s="1184"/>
      <c r="AN292" s="1183"/>
      <c r="AO292" s="1181"/>
      <c r="AP292" s="287"/>
      <c r="AQ292" s="804"/>
      <c r="AR292" s="804"/>
      <c r="AS292" s="804"/>
      <c r="AT292" s="804"/>
      <c r="AU292" s="804"/>
      <c r="AV292" s="804"/>
      <c r="AW292" s="804"/>
      <c r="AX292" s="804"/>
      <c r="AY292" s="804"/>
      <c r="AZ292" s="804"/>
      <c r="BA292" s="804"/>
      <c r="BB292" s="804"/>
      <c r="BC292" s="804"/>
      <c r="BD292" s="844"/>
      <c r="BE292" s="147"/>
      <c r="BF292" s="64"/>
    </row>
    <row r="293" spans="10:58" ht="18" customHeight="1" x14ac:dyDescent="0.2">
      <c r="J293" s="51"/>
      <c r="K293" s="51"/>
      <c r="L293" s="51"/>
      <c r="M293" s="51"/>
      <c r="N293" s="51"/>
      <c r="O293" s="51"/>
      <c r="P293" s="51"/>
      <c r="BE293" s="147"/>
      <c r="BF293" s="64"/>
    </row>
    <row r="294" spans="10:58" ht="18" customHeight="1" x14ac:dyDescent="0.2">
      <c r="J294" s="51"/>
      <c r="K294" s="51"/>
      <c r="L294" s="51"/>
      <c r="M294" s="51"/>
      <c r="N294" s="51"/>
      <c r="O294" s="51"/>
      <c r="P294" s="51"/>
      <c r="BE294" s="147"/>
      <c r="BF294" s="64"/>
    </row>
    <row r="295" spans="10:58" ht="18" customHeight="1" x14ac:dyDescent="0.2">
      <c r="J295" s="51"/>
      <c r="K295" s="51"/>
      <c r="L295" s="51"/>
      <c r="M295" s="51"/>
      <c r="N295" s="51"/>
      <c r="O295" s="51"/>
      <c r="P295" s="51"/>
      <c r="BE295" s="147"/>
      <c r="BF295" s="64"/>
    </row>
    <row r="296" spans="10:58" ht="18" customHeight="1" x14ac:dyDescent="0.2">
      <c r="J296" s="51"/>
      <c r="K296" s="51"/>
      <c r="L296" s="51"/>
      <c r="M296" s="51"/>
      <c r="N296" s="51"/>
      <c r="O296" s="51"/>
      <c r="P296" s="51"/>
      <c r="BE296" s="147"/>
      <c r="BF296" s="64"/>
    </row>
    <row r="297" spans="10:58" ht="18" customHeight="1" x14ac:dyDescent="0.2">
      <c r="J297" s="51"/>
      <c r="K297" s="51"/>
      <c r="L297" s="51"/>
      <c r="M297" s="51"/>
      <c r="N297" s="51"/>
      <c r="O297" s="51"/>
      <c r="P297" s="51"/>
      <c r="BE297" s="147"/>
      <c r="BF297" s="64"/>
    </row>
    <row r="298" spans="10:58" ht="18" customHeight="1" x14ac:dyDescent="0.2">
      <c r="J298" s="51"/>
      <c r="K298" s="51"/>
      <c r="L298" s="51"/>
      <c r="M298" s="51"/>
      <c r="N298" s="51"/>
      <c r="O298" s="51"/>
      <c r="P298" s="51"/>
      <c r="BE298" s="147"/>
      <c r="BF298" s="64"/>
    </row>
    <row r="299" spans="10:58" ht="18" customHeight="1" x14ac:dyDescent="0.2">
      <c r="J299" s="51"/>
      <c r="K299" s="51"/>
      <c r="L299" s="51"/>
      <c r="M299" s="51"/>
      <c r="N299" s="51"/>
      <c r="O299" s="51"/>
      <c r="P299" s="51"/>
      <c r="BE299" s="147"/>
      <c r="BF299" s="64"/>
    </row>
    <row r="300" spans="10:58" ht="18" customHeight="1" x14ac:dyDescent="0.2">
      <c r="J300" s="51"/>
      <c r="K300" s="51"/>
      <c r="L300" s="51"/>
      <c r="M300" s="51"/>
      <c r="N300" s="51"/>
      <c r="O300" s="51"/>
      <c r="P300" s="51"/>
      <c r="BE300" s="147"/>
      <c r="BF300" s="64"/>
    </row>
    <row r="301" spans="10:58" ht="18" customHeight="1" x14ac:dyDescent="0.2">
      <c r="J301" s="51"/>
      <c r="K301" s="51"/>
      <c r="L301" s="51"/>
      <c r="M301" s="51"/>
      <c r="N301" s="51"/>
      <c r="O301" s="51"/>
      <c r="P301" s="51"/>
      <c r="BE301" s="147"/>
      <c r="BF301" s="64"/>
    </row>
    <row r="302" spans="10:58" ht="18" customHeight="1" x14ac:dyDescent="0.2">
      <c r="J302" s="51"/>
      <c r="K302" s="51"/>
      <c r="L302" s="51"/>
      <c r="M302" s="51"/>
      <c r="N302" s="51"/>
      <c r="O302" s="51"/>
      <c r="P302" s="51"/>
      <c r="BE302" s="147"/>
      <c r="BF302" s="64"/>
    </row>
    <row r="303" spans="10:58" ht="18" customHeight="1" x14ac:dyDescent="0.2">
      <c r="J303" s="51"/>
      <c r="K303" s="51"/>
      <c r="L303" s="51"/>
      <c r="M303" s="51"/>
      <c r="N303" s="51"/>
      <c r="O303" s="51"/>
      <c r="P303" s="51"/>
      <c r="BE303" s="147"/>
      <c r="BF303" s="64"/>
    </row>
    <row r="304" spans="10:58" ht="18" customHeight="1" x14ac:dyDescent="0.2">
      <c r="J304" s="51"/>
      <c r="K304" s="51"/>
      <c r="L304" s="51"/>
      <c r="M304" s="51"/>
      <c r="N304" s="51"/>
      <c r="O304" s="51"/>
      <c r="P304" s="51"/>
      <c r="BE304" s="147"/>
      <c r="BF304" s="64"/>
    </row>
    <row r="305" spans="10:58" ht="18" customHeight="1" x14ac:dyDescent="0.2">
      <c r="J305" s="51"/>
      <c r="K305" s="51"/>
      <c r="L305" s="51"/>
      <c r="M305" s="51"/>
      <c r="N305" s="51"/>
      <c r="O305" s="51"/>
      <c r="P305" s="51"/>
      <c r="BE305" s="147"/>
      <c r="BF305" s="64"/>
    </row>
    <row r="306" spans="10:58" ht="18" customHeight="1" x14ac:dyDescent="0.2">
      <c r="J306" s="51"/>
      <c r="K306" s="51"/>
      <c r="L306" s="51"/>
      <c r="M306" s="51"/>
      <c r="N306" s="51"/>
      <c r="O306" s="51"/>
      <c r="P306" s="51"/>
      <c r="BE306" s="147"/>
      <c r="BF306" s="64"/>
    </row>
    <row r="307" spans="10:58" ht="18" customHeight="1" x14ac:dyDescent="0.2">
      <c r="J307" s="51"/>
      <c r="K307" s="51"/>
      <c r="L307" s="51"/>
      <c r="M307" s="51"/>
      <c r="N307" s="51"/>
      <c r="O307" s="51"/>
      <c r="P307" s="51"/>
      <c r="BE307" s="147"/>
      <c r="BF307" s="64"/>
    </row>
    <row r="308" spans="10:58" ht="18" customHeight="1" x14ac:dyDescent="0.2">
      <c r="J308" s="51"/>
      <c r="K308" s="51"/>
      <c r="L308" s="51"/>
      <c r="M308" s="51"/>
      <c r="N308" s="51"/>
      <c r="O308" s="51"/>
      <c r="P308" s="51"/>
      <c r="BF308" s="64"/>
    </row>
    <row r="309" spans="10:58" ht="18" customHeight="1" x14ac:dyDescent="0.2">
      <c r="J309" s="51"/>
      <c r="K309" s="51"/>
      <c r="L309" s="51"/>
      <c r="M309" s="51"/>
      <c r="N309" s="51"/>
      <c r="O309" s="51"/>
      <c r="P309" s="51"/>
      <c r="BF309" s="64"/>
    </row>
    <row r="310" spans="10:58" ht="18" customHeight="1" x14ac:dyDescent="0.2">
      <c r="J310" s="51"/>
      <c r="K310" s="51"/>
      <c r="L310" s="51"/>
      <c r="M310" s="51"/>
      <c r="N310" s="51"/>
      <c r="O310" s="51"/>
      <c r="P310" s="51"/>
      <c r="BE310" s="147"/>
      <c r="BF310" s="64"/>
    </row>
    <row r="311" spans="10:58" ht="18" customHeight="1" x14ac:dyDescent="0.2">
      <c r="J311" s="51"/>
      <c r="K311" s="51"/>
      <c r="L311" s="51"/>
      <c r="M311" s="51"/>
      <c r="N311" s="51"/>
      <c r="O311" s="51"/>
      <c r="P311" s="51"/>
      <c r="BE311" s="151"/>
      <c r="BF311" s="64"/>
    </row>
    <row r="312" spans="10:58" ht="18" customHeight="1" x14ac:dyDescent="0.2">
      <c r="J312" s="51"/>
      <c r="K312" s="51"/>
      <c r="L312" s="51"/>
      <c r="M312" s="51"/>
      <c r="N312" s="51"/>
      <c r="O312" s="51"/>
      <c r="P312" s="51"/>
      <c r="BE312" s="151"/>
      <c r="BF312" s="64"/>
    </row>
    <row r="313" spans="10:58" ht="18" customHeight="1" x14ac:dyDescent="0.2">
      <c r="J313" s="51"/>
      <c r="K313" s="51"/>
      <c r="L313" s="51"/>
      <c r="M313" s="51"/>
      <c r="N313" s="51"/>
      <c r="O313" s="51"/>
      <c r="P313" s="51"/>
      <c r="BE313" s="151"/>
      <c r="BF313" s="64"/>
    </row>
    <row r="314" spans="10:58" ht="18" customHeight="1" x14ac:dyDescent="0.2">
      <c r="J314" s="51"/>
      <c r="K314" s="51"/>
      <c r="L314" s="51"/>
      <c r="M314" s="51"/>
      <c r="N314" s="51"/>
      <c r="O314" s="51"/>
      <c r="P314" s="51"/>
      <c r="BE314" s="151"/>
      <c r="BF314" s="64"/>
    </row>
    <row r="315" spans="10:58" ht="18" customHeight="1" x14ac:dyDescent="0.2">
      <c r="J315" s="51"/>
      <c r="K315" s="51"/>
      <c r="L315" s="51"/>
      <c r="M315" s="51"/>
      <c r="N315" s="51"/>
      <c r="O315" s="51"/>
      <c r="P315" s="51"/>
      <c r="BE315" s="151"/>
      <c r="BF315" s="64"/>
    </row>
    <row r="316" spans="10:58" ht="18" customHeight="1" x14ac:dyDescent="0.2">
      <c r="J316" s="51"/>
      <c r="K316" s="51"/>
      <c r="L316" s="51"/>
      <c r="M316" s="51"/>
      <c r="N316" s="51"/>
      <c r="O316" s="51"/>
      <c r="P316" s="51"/>
      <c r="BE316" s="151"/>
      <c r="BF316" s="64"/>
    </row>
    <row r="317" spans="10:58" ht="18" customHeight="1" x14ac:dyDescent="0.2">
      <c r="J317" s="51"/>
      <c r="K317" s="51"/>
      <c r="L317" s="51"/>
      <c r="M317" s="51"/>
      <c r="N317" s="51"/>
      <c r="O317" s="51"/>
      <c r="P317" s="51"/>
      <c r="BE317" s="151"/>
      <c r="BF317" s="64"/>
    </row>
    <row r="318" spans="10:58" ht="18" customHeight="1" x14ac:dyDescent="0.2">
      <c r="J318" s="51"/>
      <c r="K318" s="51"/>
      <c r="L318" s="51"/>
      <c r="M318" s="51"/>
      <c r="N318" s="51"/>
      <c r="O318" s="51"/>
      <c r="P318" s="51"/>
      <c r="BE318" s="151"/>
      <c r="BF318" s="64"/>
    </row>
    <row r="319" spans="10:58" ht="18" customHeight="1" x14ac:dyDescent="0.2">
      <c r="J319" s="51"/>
      <c r="K319" s="51"/>
      <c r="L319" s="51"/>
      <c r="M319" s="51"/>
      <c r="N319" s="51"/>
      <c r="O319" s="51"/>
      <c r="P319" s="51"/>
      <c r="X319" s="64"/>
      <c r="Y319" s="64"/>
      <c r="Z319" s="64"/>
      <c r="AA319" s="154"/>
      <c r="AB319" s="154"/>
      <c r="AC319" s="154"/>
      <c r="AD319" s="154"/>
      <c r="AE319" s="172"/>
      <c r="AF319" s="172"/>
      <c r="AG319" s="154"/>
      <c r="AH319" s="154"/>
      <c r="AI319" s="165"/>
      <c r="AJ319" s="910"/>
      <c r="AK319" s="910"/>
      <c r="AL319" s="910"/>
      <c r="AM319" s="910"/>
      <c r="AN319" s="910"/>
      <c r="AO319" s="910"/>
      <c r="AP319" s="57"/>
      <c r="AQ319" s="151"/>
      <c r="AR319" s="151"/>
      <c r="AS319" s="151"/>
      <c r="AT319" s="151"/>
      <c r="AU319" s="151"/>
      <c r="AV319" s="151"/>
      <c r="AW319" s="151"/>
      <c r="AX319" s="151"/>
      <c r="AY319" s="151"/>
      <c r="AZ319" s="151"/>
      <c r="BA319" s="151"/>
      <c r="BB319" s="151"/>
      <c r="BC319" s="151"/>
      <c r="BD319" s="151"/>
      <c r="BE319" s="151"/>
      <c r="BF319" s="64"/>
    </row>
    <row r="320" spans="10:58" ht="18" customHeight="1" x14ac:dyDescent="0.2">
      <c r="J320" s="51"/>
      <c r="K320" s="51"/>
      <c r="L320" s="51"/>
      <c r="M320" s="51"/>
      <c r="N320" s="51"/>
      <c r="O320" s="51"/>
      <c r="P320" s="51"/>
      <c r="X320" s="64"/>
      <c r="Y320" s="64"/>
      <c r="Z320" s="64"/>
      <c r="AA320" s="154"/>
      <c r="AB320" s="154"/>
      <c r="AC320" s="154"/>
      <c r="AD320" s="154"/>
      <c r="AE320" s="172"/>
      <c r="AF320" s="172"/>
      <c r="AG320" s="154"/>
      <c r="AH320" s="154"/>
      <c r="AI320" s="165"/>
      <c r="AJ320" s="163"/>
      <c r="AK320" s="163"/>
      <c r="AL320" s="163"/>
      <c r="AM320" s="163"/>
      <c r="AN320" s="163"/>
      <c r="AO320" s="163"/>
      <c r="AP320" s="57"/>
      <c r="AQ320" s="151"/>
      <c r="AR320" s="154"/>
      <c r="AS320" s="154"/>
      <c r="AT320" s="154"/>
      <c r="AU320" s="154"/>
      <c r="AV320" s="154"/>
      <c r="AW320" s="154"/>
      <c r="AX320" s="154"/>
      <c r="AY320" s="151"/>
      <c r="AZ320" s="154"/>
      <c r="BA320" s="154"/>
      <c r="BB320" s="154"/>
      <c r="BC320" s="151"/>
      <c r="BD320" s="151"/>
      <c r="BE320" s="147"/>
      <c r="BF320" s="64"/>
    </row>
    <row r="321" spans="10:58" ht="18" customHeight="1" x14ac:dyDescent="0.2">
      <c r="J321" s="51"/>
      <c r="K321" s="51"/>
      <c r="L321" s="51"/>
      <c r="M321" s="51"/>
      <c r="N321" s="51"/>
      <c r="O321" s="51"/>
      <c r="P321" s="51"/>
      <c r="X321" s="64"/>
      <c r="Y321" s="64"/>
      <c r="Z321" s="64"/>
      <c r="AA321" s="154"/>
      <c r="AB321" s="154"/>
      <c r="AC321" s="154"/>
      <c r="AD321" s="154"/>
      <c r="AE321" s="172"/>
      <c r="AF321" s="172"/>
      <c r="AG321" s="154"/>
      <c r="AH321" s="154"/>
      <c r="AI321" s="165"/>
      <c r="AJ321" s="163"/>
      <c r="AK321" s="163"/>
      <c r="AL321" s="163"/>
      <c r="AM321" s="163"/>
      <c r="AN321" s="163"/>
      <c r="AO321" s="163"/>
      <c r="AP321" s="57"/>
      <c r="AQ321" s="151"/>
      <c r="AR321" s="154"/>
      <c r="AS321" s="154"/>
      <c r="AT321" s="154"/>
      <c r="AU321" s="154"/>
      <c r="AV321" s="154"/>
      <c r="AW321" s="154"/>
      <c r="AX321" s="154"/>
      <c r="AY321" s="154"/>
      <c r="AZ321" s="154"/>
      <c r="BA321" s="154"/>
      <c r="BB321" s="154"/>
      <c r="BC321" s="151"/>
      <c r="BD321" s="151"/>
      <c r="BE321" s="147"/>
      <c r="BF321" s="64"/>
    </row>
    <row r="322" spans="10:58" ht="18" customHeight="1" x14ac:dyDescent="0.2">
      <c r="J322" s="51"/>
      <c r="K322" s="51"/>
      <c r="L322" s="51"/>
      <c r="M322" s="51"/>
      <c r="N322" s="51"/>
      <c r="O322" s="51"/>
      <c r="P322" s="51"/>
      <c r="X322" s="64"/>
      <c r="Y322" s="64"/>
      <c r="Z322" s="64"/>
      <c r="AA322" s="154"/>
      <c r="AB322" s="154"/>
      <c r="AC322" s="154"/>
      <c r="AD322" s="154"/>
      <c r="AE322" s="172"/>
      <c r="AF322" s="172"/>
      <c r="AG322" s="154"/>
      <c r="AH322" s="154"/>
      <c r="AI322" s="165"/>
      <c r="AJ322" s="163"/>
      <c r="AK322" s="163"/>
      <c r="AL322" s="163"/>
      <c r="AM322" s="163"/>
      <c r="AN322" s="163"/>
      <c r="AO322" s="163"/>
      <c r="AP322" s="57"/>
      <c r="AQ322" s="151"/>
      <c r="AR322" s="154"/>
      <c r="AS322" s="154"/>
      <c r="AT322" s="154"/>
      <c r="AU322" s="154"/>
      <c r="AV322" s="154"/>
      <c r="AW322" s="154"/>
      <c r="AX322" s="154"/>
      <c r="AY322" s="154"/>
      <c r="AZ322" s="154"/>
      <c r="BA322" s="154"/>
      <c r="BB322" s="154"/>
      <c r="BC322" s="151"/>
      <c r="BD322" s="151"/>
      <c r="BE322" s="147"/>
      <c r="BF322" s="64"/>
    </row>
    <row r="323" spans="10:58" ht="18" customHeight="1" x14ac:dyDescent="0.2">
      <c r="J323" s="51"/>
      <c r="K323" s="51"/>
      <c r="L323" s="51"/>
      <c r="M323" s="51"/>
      <c r="N323" s="51"/>
      <c r="O323" s="51"/>
      <c r="P323" s="51"/>
      <c r="X323" s="64"/>
      <c r="Y323" s="64"/>
      <c r="Z323" s="64"/>
      <c r="AA323" s="154"/>
      <c r="AB323" s="154"/>
      <c r="AC323" s="154"/>
      <c r="AD323" s="154"/>
      <c r="AE323" s="172"/>
      <c r="AF323" s="172"/>
      <c r="AG323" s="154"/>
      <c r="AH323" s="154"/>
      <c r="AI323" s="165"/>
      <c r="AJ323" s="163"/>
      <c r="AK323" s="163"/>
      <c r="AL323" s="163"/>
      <c r="AM323" s="163"/>
      <c r="AN323" s="163"/>
      <c r="AO323" s="163"/>
      <c r="AP323" s="57"/>
      <c r="AQ323" s="151"/>
      <c r="AR323" s="154"/>
      <c r="AS323" s="154"/>
      <c r="AT323" s="154"/>
      <c r="AU323" s="154"/>
      <c r="AV323" s="154"/>
      <c r="AW323" s="154"/>
      <c r="AX323" s="154"/>
      <c r="AY323" s="154"/>
      <c r="AZ323" s="154"/>
      <c r="BA323" s="154"/>
      <c r="BB323" s="154"/>
      <c r="BC323" s="151"/>
      <c r="BD323" s="151"/>
      <c r="BE323" s="147"/>
      <c r="BF323" s="64"/>
    </row>
    <row r="324" spans="10:58" ht="12" x14ac:dyDescent="0.2">
      <c r="X324" s="64"/>
      <c r="Y324" s="64"/>
      <c r="Z324" s="64"/>
      <c r="AA324" s="154"/>
      <c r="AB324" s="154"/>
      <c r="AC324" s="154"/>
      <c r="AD324" s="154"/>
      <c r="AE324" s="172"/>
      <c r="AF324" s="172"/>
      <c r="AG324" s="154"/>
      <c r="AH324" s="154"/>
      <c r="AI324" s="154"/>
      <c r="AJ324" s="154"/>
      <c r="AK324" s="154"/>
      <c r="AL324" s="154"/>
      <c r="AM324" s="154"/>
      <c r="AN324" s="154"/>
      <c r="AO324" s="154"/>
      <c r="AP324" s="151"/>
      <c r="AQ324" s="151"/>
      <c r="AR324" s="151"/>
      <c r="AS324" s="151"/>
      <c r="AT324" s="151"/>
      <c r="AU324" s="151"/>
      <c r="AV324" s="151"/>
      <c r="AW324" s="151"/>
      <c r="AX324" s="151"/>
      <c r="AY324" s="151"/>
      <c r="AZ324" s="151"/>
      <c r="BA324" s="151"/>
      <c r="BB324" s="151"/>
      <c r="BC324" s="151"/>
      <c r="BD324" s="151"/>
      <c r="BF324" s="64"/>
    </row>
    <row r="325" spans="10:58" ht="18" customHeight="1" x14ac:dyDescent="0.2">
      <c r="X325" s="172"/>
      <c r="Y325" s="172"/>
      <c r="Z325" s="172"/>
      <c r="AA325" s="172"/>
      <c r="AB325" s="172"/>
      <c r="AC325" s="172"/>
      <c r="AD325" s="172"/>
      <c r="AE325" s="172"/>
      <c r="AF325" s="172"/>
      <c r="AG325" s="172"/>
      <c r="AH325" s="172"/>
      <c r="AI325" s="172"/>
      <c r="AJ325" s="172"/>
      <c r="AK325" s="172"/>
      <c r="AL325" s="172"/>
      <c r="AM325" s="172"/>
      <c r="AN325" s="172"/>
      <c r="AO325" s="172"/>
      <c r="AP325" s="57"/>
      <c r="AQ325" s="57"/>
      <c r="AR325" s="57"/>
      <c r="AS325" s="57"/>
      <c r="AT325" s="57"/>
      <c r="AU325" s="57"/>
      <c r="AV325" s="57"/>
      <c r="AW325" s="57"/>
      <c r="AX325" s="57"/>
      <c r="AY325" s="57"/>
      <c r="AZ325" s="57"/>
      <c r="BA325" s="57"/>
      <c r="BB325" s="57"/>
      <c r="BC325" s="57"/>
      <c r="BD325" s="57"/>
      <c r="BF325" s="64"/>
    </row>
    <row r="326" spans="10:58" ht="18" customHeight="1" x14ac:dyDescent="0.2">
      <c r="X326" s="172"/>
      <c r="Y326" s="172"/>
      <c r="Z326" s="172"/>
      <c r="AA326" s="172"/>
      <c r="AB326" s="172"/>
      <c r="AC326" s="172"/>
      <c r="AD326" s="172"/>
      <c r="AE326" s="172"/>
      <c r="AF326" s="172"/>
      <c r="AG326" s="172"/>
      <c r="AH326" s="172"/>
      <c r="AI326" s="172"/>
      <c r="AJ326" s="172"/>
      <c r="AK326" s="172"/>
      <c r="AL326" s="172"/>
      <c r="AM326" s="172"/>
      <c r="AN326" s="172"/>
      <c r="AO326" s="172"/>
      <c r="AP326" s="57"/>
      <c r="AQ326" s="57"/>
      <c r="AR326" s="57"/>
      <c r="AS326" s="57"/>
      <c r="AT326" s="57"/>
      <c r="AU326" s="57"/>
      <c r="AV326" s="57"/>
      <c r="AW326" s="57"/>
      <c r="AX326" s="57"/>
      <c r="AY326" s="57"/>
      <c r="AZ326" s="57"/>
      <c r="BA326" s="57"/>
      <c r="BB326" s="57"/>
      <c r="BC326" s="57"/>
      <c r="BD326" s="57"/>
      <c r="BF326" s="64"/>
    </row>
    <row r="327" spans="10:58" ht="18" customHeight="1" x14ac:dyDescent="0.2">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c r="AX327" s="64"/>
      <c r="AY327" s="64"/>
      <c r="AZ327" s="64"/>
      <c r="BA327" s="64"/>
      <c r="BB327" s="64"/>
      <c r="BC327" s="64"/>
      <c r="BD327" s="64"/>
      <c r="BF327" s="64"/>
    </row>
    <row r="328" spans="10:58" ht="18" customHeight="1" x14ac:dyDescent="0.2">
      <c r="BF328" s="64"/>
    </row>
    <row r="329" spans="10:58" ht="18" customHeight="1" x14ac:dyDescent="0.2">
      <c r="BF329" s="64"/>
    </row>
    <row r="330" spans="10:58" ht="18" customHeight="1" x14ac:dyDescent="0.2">
      <c r="BF330" s="64"/>
    </row>
    <row r="331" spans="10:58" ht="18" customHeight="1" x14ac:dyDescent="0.2">
      <c r="BF331" s="64"/>
    </row>
    <row r="332" spans="10:58" ht="18" customHeight="1" x14ac:dyDescent="0.2">
      <c r="BF332" s="64"/>
    </row>
    <row r="333" spans="10:58" ht="18" customHeight="1" x14ac:dyDescent="0.2">
      <c r="BF333" s="64"/>
    </row>
    <row r="334" spans="10:58" ht="18" customHeight="1" x14ac:dyDescent="0.2">
      <c r="BF334" s="64"/>
    </row>
    <row r="335" spans="10:58" ht="18" customHeight="1" x14ac:dyDescent="0.2">
      <c r="BF335" s="64"/>
    </row>
    <row r="336" spans="10:58" ht="18" customHeight="1" x14ac:dyDescent="0.2">
      <c r="BF336" s="64"/>
    </row>
    <row r="337" spans="24:58" ht="18" customHeight="1" x14ac:dyDescent="0.2">
      <c r="BF337" s="64"/>
    </row>
    <row r="338" spans="24:58" ht="18" customHeight="1" x14ac:dyDescent="0.2">
      <c r="BF338" s="64"/>
    </row>
    <row r="339" spans="24:58" ht="18" customHeight="1" x14ac:dyDescent="0.2">
      <c r="X339" s="127"/>
      <c r="Y339" s="127"/>
      <c r="Z339" s="127"/>
      <c r="AA339" s="127"/>
      <c r="AB339" s="127"/>
      <c r="AC339" s="127"/>
      <c r="AD339" s="127"/>
      <c r="AE339" s="127"/>
      <c r="AF339" s="127"/>
      <c r="AG339" s="127"/>
      <c r="AH339" s="127"/>
      <c r="AI339" s="127"/>
      <c r="AJ339" s="127"/>
      <c r="AK339" s="127"/>
      <c r="AL339" s="127"/>
      <c r="AM339" s="127"/>
      <c r="AN339" s="127"/>
      <c r="AO339" s="127"/>
      <c r="BF339" s="64"/>
    </row>
    <row r="340" spans="24:58" ht="18" customHeight="1" x14ac:dyDescent="0.2">
      <c r="X340" s="127"/>
      <c r="Y340" s="127"/>
      <c r="Z340" s="127"/>
      <c r="AA340" s="127"/>
      <c r="AB340" s="127"/>
      <c r="AC340" s="127"/>
      <c r="AD340" s="127"/>
      <c r="AE340" s="127"/>
      <c r="AF340" s="127"/>
      <c r="AG340" s="127"/>
      <c r="AH340" s="127"/>
      <c r="AI340" s="127"/>
      <c r="AJ340" s="127"/>
      <c r="AK340" s="127"/>
      <c r="AL340" s="127"/>
      <c r="AM340" s="127"/>
      <c r="AN340" s="127"/>
      <c r="AO340" s="127"/>
      <c r="BF340" s="64"/>
    </row>
    <row r="341" spans="24:58" ht="18" customHeight="1" x14ac:dyDescent="0.2">
      <c r="X341" s="127"/>
      <c r="Y341" s="127"/>
      <c r="Z341" s="127"/>
      <c r="AA341" s="127"/>
      <c r="AB341" s="127"/>
      <c r="AC341" s="127"/>
      <c r="AD341" s="127"/>
      <c r="AE341" s="127"/>
      <c r="AF341" s="127"/>
      <c r="AG341" s="127"/>
      <c r="AH341" s="127"/>
      <c r="AI341" s="127"/>
      <c r="AJ341" s="127"/>
      <c r="AK341" s="127"/>
      <c r="AL341" s="127"/>
      <c r="AM341" s="127"/>
      <c r="AN341" s="127"/>
      <c r="AO341" s="127"/>
      <c r="BF341" s="64"/>
    </row>
    <row r="342" spans="24:58" ht="18" customHeight="1" x14ac:dyDescent="0.2">
      <c r="X342" s="127"/>
      <c r="Y342" s="127"/>
      <c r="Z342" s="127"/>
      <c r="AA342" s="127"/>
      <c r="AB342" s="127"/>
      <c r="AC342" s="127"/>
      <c r="AD342" s="127"/>
      <c r="AE342" s="127"/>
      <c r="AF342" s="127"/>
      <c r="AG342" s="127"/>
      <c r="AH342" s="127"/>
      <c r="AI342" s="127"/>
      <c r="AJ342" s="127"/>
      <c r="AK342" s="127"/>
      <c r="AL342" s="127"/>
      <c r="AM342" s="127"/>
      <c r="AN342" s="127"/>
      <c r="AO342" s="127"/>
      <c r="BF342" s="64"/>
    </row>
    <row r="343" spans="24:58" ht="18" customHeight="1" x14ac:dyDescent="0.2">
      <c r="X343" s="127"/>
      <c r="Y343" s="127"/>
      <c r="Z343" s="127"/>
      <c r="AA343" s="127"/>
      <c r="AB343" s="127"/>
      <c r="AC343" s="127"/>
      <c r="AD343" s="127"/>
      <c r="AE343" s="127"/>
      <c r="AF343" s="127"/>
      <c r="AG343" s="127"/>
      <c r="AH343" s="127"/>
      <c r="AI343" s="127"/>
      <c r="AJ343" s="127"/>
      <c r="AK343" s="127"/>
      <c r="AL343" s="127"/>
      <c r="AM343" s="127"/>
      <c r="AN343" s="127"/>
      <c r="AO343" s="127"/>
      <c r="BF343" s="64"/>
    </row>
    <row r="344" spans="24:58" ht="18" customHeight="1" x14ac:dyDescent="0.2">
      <c r="X344" s="127"/>
      <c r="Y344" s="127"/>
      <c r="Z344" s="127"/>
      <c r="AA344" s="127"/>
      <c r="AB344" s="127"/>
      <c r="AC344" s="127"/>
      <c r="AD344" s="127"/>
      <c r="AE344" s="127"/>
      <c r="AF344" s="127"/>
      <c r="AG344" s="127"/>
      <c r="AH344" s="127"/>
      <c r="AI344" s="127"/>
      <c r="AJ344" s="127"/>
      <c r="AK344" s="127"/>
      <c r="AL344" s="127"/>
      <c r="AM344" s="127"/>
      <c r="AN344" s="127"/>
      <c r="AO344" s="127"/>
      <c r="BF344" s="64"/>
    </row>
    <row r="345" spans="24:58" ht="18" customHeight="1" x14ac:dyDescent="0.2">
      <c r="BF345" s="64"/>
    </row>
    <row r="346" spans="24:58" ht="18" customHeight="1" x14ac:dyDescent="0.2">
      <c r="BF346" s="64"/>
    </row>
    <row r="347" spans="24:58" ht="18" customHeight="1" x14ac:dyDescent="0.2">
      <c r="BF347" s="64"/>
    </row>
    <row r="348" spans="24:58" ht="18" customHeight="1" x14ac:dyDescent="0.2">
      <c r="BF348" s="64"/>
    </row>
    <row r="349" spans="24:58" ht="18" customHeight="1" x14ac:dyDescent="0.2">
      <c r="BF349" s="64"/>
    </row>
    <row r="350" spans="24:58" ht="18" customHeight="1" x14ac:dyDescent="0.2">
      <c r="BF350" s="64"/>
    </row>
    <row r="351" spans="24:58" ht="18" customHeight="1" x14ac:dyDescent="0.2">
      <c r="BF351" s="64"/>
    </row>
    <row r="352" spans="24:58" ht="18" customHeight="1" x14ac:dyDescent="0.2">
      <c r="BF352" s="64"/>
    </row>
    <row r="353" spans="24:58" ht="18" customHeight="1" x14ac:dyDescent="0.2">
      <c r="BF353" s="64"/>
    </row>
    <row r="354" spans="24:58" ht="18" customHeight="1" x14ac:dyDescent="0.2">
      <c r="BF354" s="64"/>
    </row>
    <row r="355" spans="24:58" ht="18" customHeight="1" x14ac:dyDescent="0.2">
      <c r="BF355" s="64"/>
    </row>
    <row r="356" spans="24:58" ht="18" customHeight="1" x14ac:dyDescent="0.2">
      <c r="X356" s="127"/>
      <c r="Y356" s="127"/>
      <c r="Z356" s="127"/>
      <c r="AA356" s="127"/>
      <c r="AB356" s="127"/>
      <c r="AC356" s="127"/>
      <c r="AD356" s="127"/>
      <c r="AE356" s="127"/>
      <c r="AF356" s="127"/>
      <c r="AG356" s="127"/>
      <c r="AH356" s="127"/>
      <c r="AI356" s="127"/>
      <c r="AJ356" s="127"/>
      <c r="AK356" s="127"/>
      <c r="AL356" s="127"/>
      <c r="AM356" s="127"/>
      <c r="AN356" s="127"/>
      <c r="AO356" s="127"/>
      <c r="BE356" s="50"/>
      <c r="BF356" s="64"/>
    </row>
    <row r="357" spans="24:58" ht="18" customHeight="1" x14ac:dyDescent="0.2">
      <c r="X357" s="127"/>
      <c r="Y357" s="127"/>
      <c r="Z357" s="127"/>
      <c r="AA357" s="127"/>
      <c r="AB357" s="127"/>
      <c r="AC357" s="127"/>
      <c r="AD357" s="127"/>
      <c r="AE357" s="127"/>
      <c r="AF357" s="127"/>
      <c r="AG357" s="127"/>
      <c r="AH357" s="127"/>
      <c r="AI357" s="127"/>
      <c r="AJ357" s="127"/>
      <c r="AK357" s="127"/>
      <c r="AL357" s="127"/>
      <c r="AM357" s="127"/>
      <c r="AN357" s="127"/>
      <c r="AO357" s="127"/>
      <c r="BE357" s="50"/>
      <c r="BF357" s="64"/>
    </row>
    <row r="358" spans="24:58" ht="18" customHeight="1" x14ac:dyDescent="0.2">
      <c r="X358" s="127"/>
      <c r="Y358" s="127"/>
      <c r="Z358" s="127"/>
      <c r="AA358" s="127"/>
      <c r="AB358" s="127"/>
      <c r="AC358" s="127"/>
      <c r="AD358" s="127"/>
      <c r="AE358" s="127"/>
      <c r="AF358" s="127"/>
      <c r="AG358" s="127"/>
      <c r="AH358" s="127"/>
      <c r="AI358" s="127"/>
      <c r="AJ358" s="127"/>
      <c r="AK358" s="127"/>
      <c r="AL358" s="127"/>
      <c r="AM358" s="127"/>
      <c r="AN358" s="127"/>
      <c r="AO358" s="127"/>
      <c r="BE358" s="50"/>
      <c r="BF358" s="64"/>
    </row>
    <row r="359" spans="24:58" ht="18" customHeight="1" x14ac:dyDescent="0.2">
      <c r="X359" s="127"/>
      <c r="Y359" s="127"/>
      <c r="Z359" s="127"/>
      <c r="AA359" s="127"/>
      <c r="AB359" s="127"/>
      <c r="AC359" s="127"/>
      <c r="AD359" s="127"/>
      <c r="AE359" s="127"/>
      <c r="AF359" s="127"/>
      <c r="AG359" s="127"/>
      <c r="AH359" s="127"/>
      <c r="AI359" s="127"/>
      <c r="AJ359" s="127"/>
      <c r="AK359" s="127"/>
      <c r="AL359" s="127"/>
      <c r="AM359" s="127"/>
      <c r="AN359" s="127"/>
      <c r="AO359" s="127"/>
      <c r="BF359" s="64"/>
    </row>
    <row r="360" spans="24:58" ht="18" customHeight="1" x14ac:dyDescent="0.2">
      <c r="X360" s="127"/>
      <c r="Y360" s="127"/>
      <c r="Z360" s="127"/>
      <c r="AA360" s="127"/>
      <c r="AB360" s="127"/>
      <c r="AC360" s="127"/>
      <c r="AD360" s="127"/>
      <c r="AE360" s="127"/>
      <c r="AF360" s="127"/>
      <c r="AG360" s="127"/>
      <c r="AH360" s="127"/>
      <c r="AI360" s="127"/>
      <c r="AJ360" s="127"/>
      <c r="AK360" s="127"/>
      <c r="AL360" s="127"/>
      <c r="AM360" s="127"/>
      <c r="AN360" s="127"/>
      <c r="AO360" s="127"/>
      <c r="BF360" s="64"/>
    </row>
    <row r="361" spans="24:58" ht="18" customHeight="1" x14ac:dyDescent="0.2">
      <c r="X361" s="127"/>
      <c r="Y361" s="127"/>
      <c r="Z361" s="127"/>
      <c r="AA361" s="127"/>
      <c r="AB361" s="127"/>
      <c r="AC361" s="127"/>
      <c r="AD361" s="127"/>
      <c r="AE361" s="127"/>
      <c r="AF361" s="127"/>
      <c r="AG361" s="127"/>
      <c r="AH361" s="127"/>
      <c r="AI361" s="127"/>
      <c r="AJ361" s="127"/>
      <c r="AK361" s="127"/>
      <c r="AL361" s="127"/>
      <c r="AM361" s="127"/>
      <c r="AN361" s="127"/>
      <c r="AO361" s="127"/>
      <c r="BF361" s="64"/>
    </row>
    <row r="362" spans="24:58" ht="18" customHeight="1" x14ac:dyDescent="0.2">
      <c r="X362" s="127"/>
      <c r="Y362" s="127"/>
      <c r="Z362" s="127"/>
      <c r="AA362" s="127"/>
      <c r="AB362" s="127"/>
      <c r="AC362" s="127"/>
      <c r="AD362" s="127"/>
      <c r="AE362" s="127"/>
      <c r="AF362" s="127"/>
      <c r="AG362" s="127"/>
      <c r="AH362" s="127"/>
      <c r="AI362" s="127"/>
      <c r="AJ362" s="127"/>
      <c r="AK362" s="127"/>
      <c r="AL362" s="127"/>
      <c r="AM362" s="127"/>
      <c r="AN362" s="127"/>
      <c r="AO362" s="127"/>
      <c r="BF362" s="64"/>
    </row>
    <row r="363" spans="24:58" ht="18" customHeight="1" x14ac:dyDescent="0.2">
      <c r="X363" s="127"/>
      <c r="Y363" s="127"/>
      <c r="Z363" s="127"/>
      <c r="AA363" s="127"/>
      <c r="AB363" s="127"/>
      <c r="AC363" s="127"/>
      <c r="AD363" s="127"/>
      <c r="AE363" s="127"/>
      <c r="AF363" s="127"/>
      <c r="AG363" s="127"/>
      <c r="AH363" s="127"/>
      <c r="AI363" s="127"/>
      <c r="AJ363" s="127"/>
      <c r="AK363" s="127"/>
      <c r="AL363" s="127"/>
      <c r="AM363" s="127"/>
      <c r="AN363" s="127"/>
      <c r="AO363" s="127"/>
      <c r="BF363" s="64"/>
    </row>
    <row r="364" spans="24:58" ht="18" customHeight="1" x14ac:dyDescent="0.2">
      <c r="X364" s="127"/>
      <c r="Y364" s="127"/>
      <c r="Z364" s="127"/>
      <c r="AA364" s="127"/>
      <c r="AB364" s="127"/>
      <c r="AC364" s="127"/>
      <c r="AD364" s="127"/>
      <c r="AE364" s="127"/>
      <c r="AF364" s="127"/>
      <c r="AG364" s="127"/>
      <c r="AH364" s="127"/>
      <c r="AI364" s="127"/>
      <c r="AJ364" s="127"/>
      <c r="AK364" s="127"/>
      <c r="AL364" s="127"/>
      <c r="AM364" s="127"/>
      <c r="AN364" s="127"/>
      <c r="AO364" s="127"/>
      <c r="BF364" s="64"/>
    </row>
    <row r="365" spans="24:58" ht="18" customHeight="1" x14ac:dyDescent="0.2">
      <c r="X365" s="127"/>
      <c r="Y365" s="127"/>
      <c r="Z365" s="127"/>
      <c r="AA365" s="127"/>
      <c r="AB365" s="127"/>
      <c r="AC365" s="127"/>
      <c r="AD365" s="127"/>
      <c r="AE365" s="127"/>
      <c r="AF365" s="127"/>
      <c r="AG365" s="127"/>
      <c r="AH365" s="127"/>
      <c r="AI365" s="127"/>
      <c r="AJ365" s="127"/>
      <c r="AK365" s="127"/>
      <c r="AL365" s="127"/>
      <c r="AM365" s="127"/>
      <c r="AN365" s="127"/>
      <c r="AO365" s="127"/>
      <c r="BF365" s="64"/>
    </row>
    <row r="366" spans="24:58" ht="18" customHeight="1" x14ac:dyDescent="0.2">
      <c r="X366" s="127"/>
      <c r="Y366" s="127"/>
      <c r="Z366" s="127"/>
      <c r="AA366" s="127"/>
      <c r="AB366" s="127"/>
      <c r="AC366" s="127"/>
      <c r="AD366" s="127"/>
      <c r="AE366" s="127"/>
      <c r="AF366" s="127"/>
      <c r="AG366" s="127"/>
      <c r="AH366" s="127"/>
      <c r="AI366" s="127"/>
      <c r="AJ366" s="127"/>
      <c r="AK366" s="127"/>
      <c r="AL366" s="127"/>
      <c r="AM366" s="127"/>
      <c r="AN366" s="127"/>
      <c r="AO366" s="127"/>
      <c r="BF366" s="64"/>
    </row>
    <row r="367" spans="24:58" ht="18" customHeight="1" x14ac:dyDescent="0.2">
      <c r="X367" s="127"/>
      <c r="Y367" s="127"/>
      <c r="Z367" s="127"/>
      <c r="AA367" s="127"/>
      <c r="AB367" s="127"/>
      <c r="AC367" s="127"/>
      <c r="AD367" s="127"/>
      <c r="AE367" s="127"/>
      <c r="AF367" s="127"/>
      <c r="AG367" s="127"/>
      <c r="AH367" s="127"/>
      <c r="AI367" s="127"/>
      <c r="AJ367" s="127"/>
      <c r="AK367" s="127"/>
      <c r="AL367" s="127"/>
      <c r="AM367" s="127"/>
      <c r="AN367" s="127"/>
      <c r="AO367" s="127"/>
      <c r="BF367" s="64"/>
    </row>
    <row r="368" spans="24:58" ht="18" customHeight="1" x14ac:dyDescent="0.2">
      <c r="X368" s="127"/>
      <c r="Y368" s="127"/>
      <c r="Z368" s="127"/>
      <c r="AA368" s="127"/>
      <c r="AB368" s="127"/>
      <c r="AC368" s="127"/>
      <c r="AD368" s="127"/>
      <c r="AE368" s="127"/>
      <c r="AF368" s="127"/>
      <c r="AG368" s="127"/>
      <c r="AH368" s="127"/>
      <c r="AI368" s="127"/>
      <c r="AJ368" s="127"/>
      <c r="AK368" s="127"/>
      <c r="AL368" s="127"/>
      <c r="AM368" s="127"/>
      <c r="AN368" s="127"/>
      <c r="AO368" s="127"/>
      <c r="BF368" s="64"/>
    </row>
    <row r="369" spans="24:58" ht="18" customHeight="1" x14ac:dyDescent="0.2">
      <c r="X369" s="127"/>
      <c r="Y369" s="127"/>
      <c r="Z369" s="127"/>
      <c r="AA369" s="127"/>
      <c r="AB369" s="127"/>
      <c r="AC369" s="127"/>
      <c r="AD369" s="127"/>
      <c r="AE369" s="127"/>
      <c r="AF369" s="127"/>
      <c r="AG369" s="127"/>
      <c r="AH369" s="127"/>
      <c r="AI369" s="127"/>
      <c r="AJ369" s="127"/>
      <c r="AK369" s="127"/>
      <c r="AL369" s="127"/>
      <c r="AM369" s="127"/>
      <c r="AN369" s="127"/>
      <c r="AO369" s="127"/>
      <c r="BF369" s="64"/>
    </row>
    <row r="370" spans="24:58" ht="18" customHeight="1" x14ac:dyDescent="0.2">
      <c r="X370" s="127"/>
      <c r="Y370" s="127"/>
      <c r="Z370" s="127"/>
      <c r="AA370" s="127"/>
      <c r="AB370" s="127"/>
      <c r="AC370" s="127"/>
      <c r="AD370" s="127"/>
      <c r="AE370" s="127"/>
      <c r="AF370" s="127"/>
      <c r="AG370" s="127"/>
      <c r="AH370" s="127"/>
      <c r="AI370" s="127"/>
      <c r="AJ370" s="127"/>
      <c r="AK370" s="127"/>
      <c r="AL370" s="127"/>
      <c r="AM370" s="127"/>
      <c r="AN370" s="127"/>
      <c r="AO370" s="127"/>
      <c r="BF370" s="64"/>
    </row>
    <row r="371" spans="24:58" ht="18" customHeight="1" x14ac:dyDescent="0.2">
      <c r="X371" s="127"/>
      <c r="Y371" s="127"/>
      <c r="Z371" s="127"/>
      <c r="AA371" s="127"/>
      <c r="AB371" s="127"/>
      <c r="AC371" s="127"/>
      <c r="AD371" s="127"/>
      <c r="AE371" s="127"/>
      <c r="AF371" s="127"/>
      <c r="AG371" s="127"/>
      <c r="AH371" s="127"/>
      <c r="AI371" s="127"/>
      <c r="AJ371" s="127"/>
      <c r="AK371" s="127"/>
      <c r="AL371" s="127"/>
      <c r="AM371" s="127"/>
      <c r="AN371" s="127"/>
      <c r="AO371" s="127"/>
      <c r="BF371" s="64"/>
    </row>
    <row r="372" spans="24:58" ht="18" customHeight="1" x14ac:dyDescent="0.2">
      <c r="X372" s="127"/>
      <c r="Y372" s="127"/>
      <c r="Z372" s="127"/>
      <c r="AA372" s="127"/>
      <c r="AB372" s="127"/>
      <c r="AC372" s="127"/>
      <c r="AD372" s="127"/>
      <c r="AE372" s="127"/>
      <c r="AF372" s="127"/>
      <c r="AG372" s="127"/>
      <c r="AH372" s="127"/>
      <c r="AI372" s="127"/>
      <c r="AJ372" s="127"/>
      <c r="AK372" s="127"/>
      <c r="AL372" s="127"/>
      <c r="AM372" s="127"/>
      <c r="AN372" s="127"/>
      <c r="AO372" s="127"/>
      <c r="BF372" s="64"/>
    </row>
    <row r="373" spans="24:58" ht="18" customHeight="1" x14ac:dyDescent="0.2">
      <c r="X373" s="127"/>
      <c r="Y373" s="127"/>
      <c r="Z373" s="127"/>
      <c r="AA373" s="127"/>
      <c r="AB373" s="127"/>
      <c r="AC373" s="127"/>
      <c r="AD373" s="127"/>
      <c r="AE373" s="127"/>
      <c r="AF373" s="127"/>
      <c r="AG373" s="127"/>
      <c r="AH373" s="127"/>
      <c r="AI373" s="127"/>
      <c r="AJ373" s="127"/>
      <c r="AK373" s="127"/>
      <c r="AL373" s="127"/>
      <c r="AM373" s="127"/>
      <c r="AN373" s="127"/>
      <c r="AO373" s="127"/>
      <c r="BF373" s="64"/>
    </row>
    <row r="374" spans="24:58" ht="18" customHeight="1" x14ac:dyDescent="0.2">
      <c r="X374" s="127"/>
      <c r="Y374" s="127"/>
      <c r="Z374" s="127"/>
      <c r="AA374" s="127"/>
      <c r="AB374" s="127"/>
      <c r="AC374" s="127"/>
      <c r="AD374" s="127"/>
      <c r="AE374" s="127"/>
      <c r="AF374" s="127"/>
      <c r="AG374" s="127"/>
      <c r="AH374" s="127"/>
      <c r="AI374" s="127"/>
      <c r="AJ374" s="127"/>
      <c r="AK374" s="127"/>
      <c r="AL374" s="127"/>
      <c r="AM374" s="127"/>
      <c r="AN374" s="127"/>
      <c r="AO374" s="127"/>
      <c r="BF374" s="64"/>
    </row>
    <row r="375" spans="24:58" ht="18" customHeight="1" x14ac:dyDescent="0.2">
      <c r="X375" s="127"/>
      <c r="Y375" s="127"/>
      <c r="Z375" s="127"/>
      <c r="AA375" s="127"/>
      <c r="AB375" s="127"/>
      <c r="AC375" s="127"/>
      <c r="AD375" s="127"/>
      <c r="AE375" s="127"/>
      <c r="AF375" s="127"/>
      <c r="AG375" s="127"/>
      <c r="AH375" s="127"/>
      <c r="AI375" s="127"/>
      <c r="AJ375" s="127"/>
      <c r="AK375" s="127"/>
      <c r="AL375" s="127"/>
      <c r="AM375" s="127"/>
      <c r="AN375" s="127"/>
      <c r="AO375" s="127"/>
      <c r="BF375" s="64"/>
    </row>
    <row r="376" spans="24:58" ht="18" customHeight="1" x14ac:dyDescent="0.2">
      <c r="X376" s="127"/>
      <c r="Y376" s="127"/>
      <c r="Z376" s="127"/>
      <c r="AA376" s="127"/>
      <c r="AB376" s="127"/>
      <c r="AC376" s="127"/>
      <c r="AD376" s="127"/>
      <c r="AE376" s="127"/>
      <c r="AF376" s="127"/>
      <c r="AG376" s="127"/>
      <c r="AH376" s="127"/>
      <c r="AI376" s="127"/>
      <c r="AJ376" s="127"/>
      <c r="AK376" s="127"/>
      <c r="AL376" s="127"/>
      <c r="AM376" s="127"/>
      <c r="AN376" s="127"/>
      <c r="AO376" s="127"/>
      <c r="BF376" s="64"/>
    </row>
    <row r="377" spans="24:58" ht="18" customHeight="1" x14ac:dyDescent="0.2">
      <c r="X377" s="127"/>
      <c r="Y377" s="127"/>
      <c r="Z377" s="127"/>
      <c r="AA377" s="127"/>
      <c r="AB377" s="127"/>
      <c r="AC377" s="127"/>
      <c r="AD377" s="127"/>
      <c r="AE377" s="127"/>
      <c r="AF377" s="127"/>
      <c r="AG377" s="127"/>
      <c r="AH377" s="127"/>
      <c r="AI377" s="127"/>
      <c r="AJ377" s="127"/>
      <c r="AK377" s="127"/>
      <c r="AL377" s="127"/>
      <c r="AM377" s="127"/>
      <c r="AN377" s="127"/>
      <c r="AO377" s="127"/>
      <c r="BF377" s="64"/>
    </row>
    <row r="378" spans="24:58" ht="18" customHeight="1" x14ac:dyDescent="0.2">
      <c r="X378" s="127"/>
      <c r="Y378" s="127"/>
      <c r="Z378" s="127"/>
      <c r="AA378" s="127"/>
      <c r="AB378" s="127"/>
      <c r="AC378" s="127"/>
      <c r="AD378" s="127"/>
      <c r="AE378" s="127"/>
      <c r="AF378" s="127"/>
      <c r="AG378" s="127"/>
      <c r="AH378" s="127"/>
      <c r="AI378" s="127"/>
      <c r="AJ378" s="127"/>
      <c r="AK378" s="127"/>
      <c r="AL378" s="127"/>
      <c r="AM378" s="127"/>
      <c r="AN378" s="127"/>
      <c r="AO378" s="127"/>
      <c r="BF378" s="64"/>
    </row>
    <row r="379" spans="24:58" ht="18" customHeight="1" x14ac:dyDescent="0.2">
      <c r="X379" s="127"/>
      <c r="Y379" s="127"/>
      <c r="Z379" s="127"/>
      <c r="AA379" s="127"/>
      <c r="AB379" s="127"/>
      <c r="AC379" s="127"/>
      <c r="AD379" s="127"/>
      <c r="AE379" s="127"/>
      <c r="AF379" s="127"/>
      <c r="AG379" s="127"/>
      <c r="AH379" s="127"/>
      <c r="AI379" s="127"/>
      <c r="AJ379" s="127"/>
      <c r="AK379" s="127"/>
      <c r="AL379" s="127"/>
      <c r="AM379" s="127"/>
      <c r="AN379" s="127"/>
      <c r="AO379" s="127"/>
      <c r="BE379" s="50"/>
      <c r="BF379" s="64"/>
    </row>
    <row r="380" spans="24:58" ht="18" customHeight="1" x14ac:dyDescent="0.2">
      <c r="X380" s="127"/>
      <c r="Y380" s="127"/>
      <c r="Z380" s="127"/>
      <c r="AA380" s="127"/>
      <c r="AB380" s="127"/>
      <c r="AC380" s="127"/>
      <c r="AD380" s="127"/>
      <c r="AE380" s="127"/>
      <c r="AF380" s="127"/>
      <c r="AG380" s="127"/>
      <c r="AH380" s="127"/>
      <c r="AI380" s="127"/>
      <c r="AJ380" s="127"/>
      <c r="AK380" s="127"/>
      <c r="AL380" s="127"/>
      <c r="AM380" s="127"/>
      <c r="AN380" s="127"/>
      <c r="AO380" s="127"/>
      <c r="BE380" s="50"/>
      <c r="BF380" s="64"/>
    </row>
    <row r="381" spans="24:58" ht="18" customHeight="1" x14ac:dyDescent="0.2">
      <c r="X381" s="127"/>
      <c r="Y381" s="127"/>
      <c r="Z381" s="127"/>
      <c r="AA381" s="127"/>
      <c r="AB381" s="127"/>
      <c r="AC381" s="127"/>
      <c r="AD381" s="127"/>
      <c r="AE381" s="127"/>
      <c r="AF381" s="127"/>
      <c r="AG381" s="127"/>
      <c r="AH381" s="127"/>
      <c r="AI381" s="127"/>
      <c r="AJ381" s="127"/>
      <c r="AK381" s="127"/>
      <c r="AL381" s="127"/>
      <c r="AM381" s="127"/>
      <c r="AN381" s="127"/>
      <c r="AO381" s="127"/>
      <c r="BE381" s="50"/>
      <c r="BF381" s="64"/>
    </row>
    <row r="382" spans="24:58" ht="18" customHeight="1" x14ac:dyDescent="0.2">
      <c r="X382" s="127"/>
      <c r="Y382" s="127"/>
      <c r="Z382" s="127"/>
      <c r="AA382" s="127"/>
      <c r="AB382" s="127"/>
      <c r="AC382" s="127"/>
      <c r="AD382" s="127"/>
      <c r="AE382" s="127"/>
      <c r="AF382" s="127"/>
      <c r="AG382" s="127"/>
      <c r="AH382" s="127"/>
      <c r="AI382" s="127"/>
      <c r="AJ382" s="127"/>
      <c r="AK382" s="127"/>
      <c r="AL382" s="127"/>
      <c r="AM382" s="127"/>
      <c r="AN382" s="127"/>
      <c r="AO382" s="127"/>
      <c r="BE382" s="50"/>
      <c r="BF382" s="64"/>
    </row>
    <row r="383" spans="24:58" ht="18" customHeight="1" x14ac:dyDescent="0.2">
      <c r="BE383" s="50"/>
      <c r="BF383" s="64"/>
    </row>
    <row r="384" spans="24:58" ht="18" customHeight="1" x14ac:dyDescent="0.2">
      <c r="BE384" s="50"/>
      <c r="BF384" s="64"/>
    </row>
    <row r="385" spans="57:58" ht="18" customHeight="1" x14ac:dyDescent="0.2">
      <c r="BE385" s="50"/>
      <c r="BF385" s="64"/>
    </row>
    <row r="386" spans="57:58" ht="18" customHeight="1" x14ac:dyDescent="0.2">
      <c r="BE386" s="50"/>
      <c r="BF386" s="64"/>
    </row>
    <row r="387" spans="57:58" ht="18" customHeight="1" x14ac:dyDescent="0.2">
      <c r="BE387" s="50"/>
      <c r="BF387" s="64"/>
    </row>
    <row r="388" spans="57:58" ht="18" customHeight="1" x14ac:dyDescent="0.2">
      <c r="BE388" s="50"/>
      <c r="BF388" s="64"/>
    </row>
    <row r="389" spans="57:58" ht="18" customHeight="1" x14ac:dyDescent="0.2">
      <c r="BE389" s="50"/>
      <c r="BF389" s="64"/>
    </row>
    <row r="390" spans="57:58" ht="18" customHeight="1" x14ac:dyDescent="0.2">
      <c r="BE390" s="50"/>
      <c r="BF390" s="64"/>
    </row>
    <row r="391" spans="57:58" ht="18" customHeight="1" x14ac:dyDescent="0.2">
      <c r="BE391" s="50"/>
      <c r="BF391" s="64"/>
    </row>
    <row r="392" spans="57:58" ht="18" customHeight="1" x14ac:dyDescent="0.2">
      <c r="BE392" s="50"/>
      <c r="BF392" s="64"/>
    </row>
    <row r="393" spans="57:58" ht="18" customHeight="1" x14ac:dyDescent="0.2">
      <c r="BE393" s="50"/>
      <c r="BF393" s="64"/>
    </row>
    <row r="394" spans="57:58" ht="18" customHeight="1" x14ac:dyDescent="0.2">
      <c r="BE394" s="50"/>
      <c r="BF394" s="64"/>
    </row>
    <row r="395" spans="57:58" ht="18" customHeight="1" x14ac:dyDescent="0.2">
      <c r="BF395" s="64"/>
    </row>
    <row r="396" spans="57:58" ht="18" customHeight="1" x14ac:dyDescent="0.2">
      <c r="BF396" s="64"/>
    </row>
    <row r="397" spans="57:58" ht="18" customHeight="1" x14ac:dyDescent="0.2">
      <c r="BF397" s="64"/>
    </row>
    <row r="398" spans="57:58" ht="18" customHeight="1" x14ac:dyDescent="0.2">
      <c r="BF398" s="64"/>
    </row>
    <row r="399" spans="57:58" ht="18" customHeight="1" x14ac:dyDescent="0.2">
      <c r="BF399" s="64"/>
    </row>
    <row r="400" spans="57:58" ht="18" customHeight="1" x14ac:dyDescent="0.2">
      <c r="BF400" s="64"/>
    </row>
    <row r="401" spans="58:58" ht="18" customHeight="1" x14ac:dyDescent="0.2">
      <c r="BF401" s="64"/>
    </row>
    <row r="402" spans="58:58" ht="18" customHeight="1" x14ac:dyDescent="0.2">
      <c r="BF402" s="64"/>
    </row>
    <row r="403" spans="58:58" ht="18" customHeight="1" x14ac:dyDescent="0.2">
      <c r="BF403" s="64"/>
    </row>
    <row r="404" spans="58:58" ht="18" customHeight="1" x14ac:dyDescent="0.2">
      <c r="BF404" s="64"/>
    </row>
    <row r="405" spans="58:58" ht="18" customHeight="1" x14ac:dyDescent="0.2">
      <c r="BF405" s="64"/>
    </row>
    <row r="406" spans="58:58" ht="18" customHeight="1" x14ac:dyDescent="0.2">
      <c r="BF406" s="64"/>
    </row>
    <row r="407" spans="58:58" ht="18" customHeight="1" x14ac:dyDescent="0.2">
      <c r="BF407" s="64"/>
    </row>
    <row r="408" spans="58:58" ht="18" customHeight="1" x14ac:dyDescent="0.2">
      <c r="BF408" s="64"/>
    </row>
    <row r="409" spans="58:58" ht="18" customHeight="1" x14ac:dyDescent="0.2">
      <c r="BF409" s="64"/>
    </row>
    <row r="410" spans="58:58" ht="18" customHeight="1" x14ac:dyDescent="0.2">
      <c r="BF410" s="64"/>
    </row>
    <row r="411" spans="58:58" ht="18" customHeight="1" x14ac:dyDescent="0.2">
      <c r="BF411" s="64"/>
    </row>
    <row r="412" spans="58:58" ht="18" customHeight="1" x14ac:dyDescent="0.2">
      <c r="BF412" s="64"/>
    </row>
    <row r="413" spans="58:58" ht="18" customHeight="1" x14ac:dyDescent="0.2">
      <c r="BF413" s="64"/>
    </row>
    <row r="414" spans="58:58" ht="18" customHeight="1" x14ac:dyDescent="0.2">
      <c r="BF414" s="64"/>
    </row>
    <row r="415" spans="58:58" ht="18" customHeight="1" x14ac:dyDescent="0.2">
      <c r="BF415" s="64"/>
    </row>
    <row r="416" spans="58:58" ht="18" customHeight="1" x14ac:dyDescent="0.2">
      <c r="BF416" s="64"/>
    </row>
    <row r="417" spans="58:58" ht="18" customHeight="1" x14ac:dyDescent="0.2">
      <c r="BF417" s="64"/>
    </row>
    <row r="418" spans="58:58" ht="18" customHeight="1" x14ac:dyDescent="0.2">
      <c r="BF418" s="64"/>
    </row>
    <row r="419" spans="58:58" ht="18" customHeight="1" x14ac:dyDescent="0.2">
      <c r="BF419" s="64"/>
    </row>
    <row r="420" spans="58:58" ht="18" customHeight="1" x14ac:dyDescent="0.2">
      <c r="BF420" s="64"/>
    </row>
    <row r="421" spans="58:58" ht="18" customHeight="1" x14ac:dyDescent="0.2">
      <c r="BF421" s="64"/>
    </row>
    <row r="422" spans="58:58" ht="18" customHeight="1" x14ac:dyDescent="0.2">
      <c r="BF422" s="64"/>
    </row>
    <row r="423" spans="58:58" ht="18" customHeight="1" x14ac:dyDescent="0.2">
      <c r="BF423" s="64"/>
    </row>
    <row r="424" spans="58:58" ht="18" customHeight="1" x14ac:dyDescent="0.2">
      <c r="BF424" s="64"/>
    </row>
    <row r="425" spans="58:58" ht="18" customHeight="1" x14ac:dyDescent="0.2">
      <c r="BF425" s="64"/>
    </row>
    <row r="426" spans="58:58" ht="18" customHeight="1" x14ac:dyDescent="0.2">
      <c r="BF426" s="64"/>
    </row>
    <row r="427" spans="58:58" ht="18" customHeight="1" x14ac:dyDescent="0.2">
      <c r="BF427" s="64"/>
    </row>
    <row r="428" spans="58:58" ht="18" customHeight="1" x14ac:dyDescent="0.2">
      <c r="BF428" s="64"/>
    </row>
    <row r="429" spans="58:58" ht="18" customHeight="1" x14ac:dyDescent="0.2">
      <c r="BF429" s="64"/>
    </row>
    <row r="430" spans="58:58" ht="18" customHeight="1" x14ac:dyDescent="0.2">
      <c r="BF430" s="64"/>
    </row>
    <row r="431" spans="58:58" ht="18" customHeight="1" x14ac:dyDescent="0.2">
      <c r="BF431" s="64"/>
    </row>
    <row r="432" spans="58:58" ht="18" customHeight="1" x14ac:dyDescent="0.2">
      <c r="BF432" s="64"/>
    </row>
    <row r="433" spans="58:58" ht="18" customHeight="1" x14ac:dyDescent="0.2">
      <c r="BF433" s="64"/>
    </row>
    <row r="434" spans="58:58" ht="18" customHeight="1" x14ac:dyDescent="0.2">
      <c r="BF434" s="64"/>
    </row>
    <row r="435" spans="58:58" ht="18" customHeight="1" x14ac:dyDescent="0.2">
      <c r="BF435" s="64"/>
    </row>
    <row r="436" spans="58:58" ht="18" customHeight="1" x14ac:dyDescent="0.2">
      <c r="BF436" s="64"/>
    </row>
    <row r="437" spans="58:58" ht="18" customHeight="1" x14ac:dyDescent="0.2">
      <c r="BF437" s="64"/>
    </row>
    <row r="438" spans="58:58" ht="18" customHeight="1" x14ac:dyDescent="0.2">
      <c r="BF438" s="64"/>
    </row>
    <row r="439" spans="58:58" ht="18" customHeight="1" x14ac:dyDescent="0.2">
      <c r="BF439" s="64"/>
    </row>
    <row r="440" spans="58:58" ht="18" customHeight="1" x14ac:dyDescent="0.2">
      <c r="BF440" s="64"/>
    </row>
    <row r="441" spans="58:58" ht="18" customHeight="1" x14ac:dyDescent="0.2">
      <c r="BF441" s="64"/>
    </row>
    <row r="442" spans="58:58" ht="18" customHeight="1" x14ac:dyDescent="0.2">
      <c r="BF442" s="64"/>
    </row>
    <row r="443" spans="58:58" ht="18" customHeight="1" x14ac:dyDescent="0.2">
      <c r="BF443" s="64"/>
    </row>
    <row r="444" spans="58:58" ht="18" customHeight="1" x14ac:dyDescent="0.2">
      <c r="BF444" s="64"/>
    </row>
    <row r="445" spans="58:58" ht="18" customHeight="1" x14ac:dyDescent="0.2">
      <c r="BF445" s="64"/>
    </row>
    <row r="446" spans="58:58" ht="18" customHeight="1" x14ac:dyDescent="0.2">
      <c r="BF446" s="64"/>
    </row>
    <row r="447" spans="58:58" ht="18" customHeight="1" x14ac:dyDescent="0.2">
      <c r="BF447" s="64"/>
    </row>
    <row r="448" spans="58:58" ht="18" customHeight="1" x14ac:dyDescent="0.2">
      <c r="BF448" s="64"/>
    </row>
    <row r="449" spans="58:58" ht="18" customHeight="1" x14ac:dyDescent="0.2">
      <c r="BF449" s="64"/>
    </row>
    <row r="450" spans="58:58" ht="18" customHeight="1" x14ac:dyDescent="0.2">
      <c r="BF450" s="64"/>
    </row>
    <row r="451" spans="58:58" ht="18" customHeight="1" x14ac:dyDescent="0.2">
      <c r="BF451" s="64"/>
    </row>
    <row r="452" spans="58:58" ht="18" customHeight="1" x14ac:dyDescent="0.2">
      <c r="BF452" s="64"/>
    </row>
    <row r="453" spans="58:58" ht="18" customHeight="1" x14ac:dyDescent="0.2">
      <c r="BF453" s="64"/>
    </row>
    <row r="454" spans="58:58" ht="18" customHeight="1" x14ac:dyDescent="0.2">
      <c r="BF454" s="64"/>
    </row>
    <row r="455" spans="58:58" ht="18" customHeight="1" x14ac:dyDescent="0.2">
      <c r="BF455" s="64"/>
    </row>
    <row r="456" spans="58:58" ht="18" customHeight="1" x14ac:dyDescent="0.2">
      <c r="BF456" s="64"/>
    </row>
    <row r="457" spans="58:58" ht="18" customHeight="1" x14ac:dyDescent="0.2">
      <c r="BF457" s="64"/>
    </row>
    <row r="458" spans="58:58" ht="18" customHeight="1" x14ac:dyDescent="0.2">
      <c r="BF458" s="64"/>
    </row>
    <row r="459" spans="58:58" ht="18" customHeight="1" x14ac:dyDescent="0.2">
      <c r="BF459" s="64"/>
    </row>
    <row r="460" spans="58:58" ht="18" customHeight="1" x14ac:dyDescent="0.2">
      <c r="BF460" s="64"/>
    </row>
    <row r="461" spans="58:58" ht="18" customHeight="1" x14ac:dyDescent="0.2">
      <c r="BF461" s="64"/>
    </row>
    <row r="462" spans="58:58" ht="18" customHeight="1" x14ac:dyDescent="0.2">
      <c r="BF462" s="64"/>
    </row>
    <row r="463" spans="58:58" ht="18" customHeight="1" x14ac:dyDescent="0.2">
      <c r="BF463" s="64"/>
    </row>
    <row r="464" spans="58:58" ht="18" customHeight="1" x14ac:dyDescent="0.2">
      <c r="BF464" s="64"/>
    </row>
    <row r="465" spans="58:58" ht="18" customHeight="1" x14ac:dyDescent="0.2">
      <c r="BF465" s="64"/>
    </row>
    <row r="466" spans="58:58" ht="18" customHeight="1" x14ac:dyDescent="0.2">
      <c r="BF466" s="64"/>
    </row>
    <row r="467" spans="58:58" ht="18" customHeight="1" x14ac:dyDescent="0.2">
      <c r="BF467" s="64"/>
    </row>
    <row r="468" spans="58:58" ht="18" customHeight="1" x14ac:dyDescent="0.2">
      <c r="BF468" s="64"/>
    </row>
    <row r="469" spans="58:58" ht="18" customHeight="1" x14ac:dyDescent="0.2">
      <c r="BF469" s="64"/>
    </row>
    <row r="470" spans="58:58" ht="18" customHeight="1" x14ac:dyDescent="0.2">
      <c r="BF470" s="64"/>
    </row>
    <row r="471" spans="58:58" ht="18" customHeight="1" x14ac:dyDescent="0.2">
      <c r="BF471" s="64"/>
    </row>
    <row r="472" spans="58:58" ht="18" customHeight="1" x14ac:dyDescent="0.2">
      <c r="BF472" s="64"/>
    </row>
    <row r="473" spans="58:58" ht="18" customHeight="1" x14ac:dyDescent="0.2">
      <c r="BF473" s="64"/>
    </row>
    <row r="474" spans="58:58" ht="18" customHeight="1" x14ac:dyDescent="0.2">
      <c r="BF474" s="64"/>
    </row>
    <row r="475" spans="58:58" ht="18" customHeight="1" x14ac:dyDescent="0.2">
      <c r="BF475" s="64"/>
    </row>
    <row r="476" spans="58:58" ht="18" customHeight="1" x14ac:dyDescent="0.2">
      <c r="BF476" s="64"/>
    </row>
    <row r="477" spans="58:58" ht="18" customHeight="1" x14ac:dyDescent="0.2">
      <c r="BF477" s="64"/>
    </row>
    <row r="478" spans="58:58" ht="18" customHeight="1" x14ac:dyDescent="0.2">
      <c r="BF478" s="64"/>
    </row>
    <row r="479" spans="58:58" ht="18" customHeight="1" x14ac:dyDescent="0.2">
      <c r="BF479" s="64"/>
    </row>
    <row r="480" spans="58:58" ht="18" customHeight="1" x14ac:dyDescent="0.2">
      <c r="BF480" s="64"/>
    </row>
    <row r="481" spans="58:58" ht="18" customHeight="1" x14ac:dyDescent="0.2">
      <c r="BF481" s="64"/>
    </row>
    <row r="482" spans="58:58" ht="18" customHeight="1" x14ac:dyDescent="0.2">
      <c r="BF482" s="64"/>
    </row>
    <row r="483" spans="58:58" ht="18" customHeight="1" x14ac:dyDescent="0.2">
      <c r="BF483" s="64"/>
    </row>
    <row r="484" spans="58:58" ht="18" customHeight="1" x14ac:dyDescent="0.2">
      <c r="BF484" s="64"/>
    </row>
    <row r="485" spans="58:58" ht="18" customHeight="1" x14ac:dyDescent="0.2">
      <c r="BF485" s="64"/>
    </row>
    <row r="486" spans="58:58" ht="18" customHeight="1" x14ac:dyDescent="0.2">
      <c r="BF486" s="64"/>
    </row>
    <row r="487" spans="58:58" ht="18" customHeight="1" x14ac:dyDescent="0.2">
      <c r="BF487" s="64"/>
    </row>
    <row r="488" spans="58:58" ht="18" customHeight="1" x14ac:dyDescent="0.2">
      <c r="BF488" s="64"/>
    </row>
    <row r="489" spans="58:58" ht="18" customHeight="1" x14ac:dyDescent="0.2">
      <c r="BF489" s="64"/>
    </row>
    <row r="490" spans="58:58" ht="18" customHeight="1" x14ac:dyDescent="0.2">
      <c r="BF490" s="64"/>
    </row>
    <row r="491" spans="58:58" ht="18" customHeight="1" x14ac:dyDescent="0.2">
      <c r="BF491" s="64"/>
    </row>
    <row r="492" spans="58:58" ht="18" customHeight="1" x14ac:dyDescent="0.2">
      <c r="BF492" s="64"/>
    </row>
    <row r="493" spans="58:58" ht="18" customHeight="1" x14ac:dyDescent="0.2">
      <c r="BF493" s="64"/>
    </row>
    <row r="494" spans="58:58" ht="18" customHeight="1" x14ac:dyDescent="0.2">
      <c r="BF494" s="64"/>
    </row>
    <row r="495" spans="58:58" ht="18" customHeight="1" x14ac:dyDescent="0.2">
      <c r="BF495" s="64"/>
    </row>
    <row r="496" spans="58:58" ht="18" customHeight="1" x14ac:dyDescent="0.2">
      <c r="BF496" s="64"/>
    </row>
    <row r="497" spans="58:58" ht="18" customHeight="1" x14ac:dyDescent="0.2">
      <c r="BF497" s="64"/>
    </row>
    <row r="498" spans="58:58" ht="18" customHeight="1" x14ac:dyDescent="0.2">
      <c r="BF498" s="64"/>
    </row>
    <row r="499" spans="58:58" ht="18" customHeight="1" x14ac:dyDescent="0.2">
      <c r="BF499" s="64"/>
    </row>
    <row r="500" spans="58:58" ht="18" customHeight="1" x14ac:dyDescent="0.2">
      <c r="BF500" s="64"/>
    </row>
    <row r="501" spans="58:58" ht="18" customHeight="1" x14ac:dyDescent="0.2">
      <c r="BF501" s="64"/>
    </row>
    <row r="502" spans="58:58" ht="18" customHeight="1" x14ac:dyDescent="0.2">
      <c r="BF502" s="64"/>
    </row>
    <row r="503" spans="58:58" ht="18" customHeight="1" x14ac:dyDescent="0.2">
      <c r="BF503" s="64"/>
    </row>
    <row r="504" spans="58:58" ht="18" customHeight="1" x14ac:dyDescent="0.2">
      <c r="BF504" s="64"/>
    </row>
    <row r="505" spans="58:58" ht="18" customHeight="1" x14ac:dyDescent="0.2">
      <c r="BF505" s="64"/>
    </row>
    <row r="506" spans="58:58" ht="18" customHeight="1" x14ac:dyDescent="0.2">
      <c r="BF506" s="64"/>
    </row>
    <row r="507" spans="58:58" ht="18" customHeight="1" x14ac:dyDescent="0.2">
      <c r="BF507" s="64"/>
    </row>
    <row r="508" spans="58:58" ht="18" customHeight="1" x14ac:dyDescent="0.2">
      <c r="BF508" s="64"/>
    </row>
    <row r="509" spans="58:58" ht="18" customHeight="1" x14ac:dyDescent="0.2">
      <c r="BF509" s="64"/>
    </row>
    <row r="510" spans="58:58" ht="18" customHeight="1" x14ac:dyDescent="0.2">
      <c r="BF510" s="64"/>
    </row>
    <row r="511" spans="58:58" ht="18" customHeight="1" x14ac:dyDescent="0.2">
      <c r="BF511" s="64"/>
    </row>
    <row r="512" spans="58:58" ht="18" customHeight="1" x14ac:dyDescent="0.2">
      <c r="BF512" s="64"/>
    </row>
    <row r="513" spans="58:58" ht="18" customHeight="1" x14ac:dyDescent="0.2">
      <c r="BF513" s="64"/>
    </row>
    <row r="514" spans="58:58" ht="18" customHeight="1" x14ac:dyDescent="0.2">
      <c r="BF514" s="64"/>
    </row>
    <row r="515" spans="58:58" ht="18" customHeight="1" x14ac:dyDescent="0.2">
      <c r="BF515" s="64"/>
    </row>
    <row r="516" spans="58:58" ht="18" customHeight="1" x14ac:dyDescent="0.2">
      <c r="BF516" s="64"/>
    </row>
    <row r="517" spans="58:58" ht="18" customHeight="1" x14ac:dyDescent="0.2">
      <c r="BF517" s="64"/>
    </row>
    <row r="518" spans="58:58" ht="18" customHeight="1" x14ac:dyDescent="0.2">
      <c r="BF518" s="64"/>
    </row>
    <row r="519" spans="58:58" ht="18" customHeight="1" x14ac:dyDescent="0.2">
      <c r="BF519" s="64"/>
    </row>
    <row r="520" spans="58:58" ht="18" customHeight="1" x14ac:dyDescent="0.2">
      <c r="BF520" s="64"/>
    </row>
    <row r="521" spans="58:58" ht="18" customHeight="1" x14ac:dyDescent="0.2">
      <c r="BF521" s="64"/>
    </row>
    <row r="522" spans="58:58" ht="18" customHeight="1" x14ac:dyDescent="0.2">
      <c r="BF522" s="64"/>
    </row>
    <row r="523" spans="58:58" ht="18" customHeight="1" x14ac:dyDescent="0.2">
      <c r="BF523" s="64"/>
    </row>
    <row r="524" spans="58:58" ht="18" customHeight="1" x14ac:dyDescent="0.2">
      <c r="BF524" s="64"/>
    </row>
    <row r="525" spans="58:58" ht="18" customHeight="1" x14ac:dyDescent="0.2">
      <c r="BF525" s="64"/>
    </row>
    <row r="526" spans="58:58" ht="18" customHeight="1" x14ac:dyDescent="0.2">
      <c r="BF526" s="64"/>
    </row>
    <row r="527" spans="58:58" ht="18" customHeight="1" x14ac:dyDescent="0.2">
      <c r="BF527" s="64"/>
    </row>
    <row r="528" spans="58:58" ht="18" customHeight="1" x14ac:dyDescent="0.2">
      <c r="BF528" s="64"/>
    </row>
    <row r="529" spans="58:58" ht="18" customHeight="1" x14ac:dyDescent="0.2">
      <c r="BF529" s="64"/>
    </row>
    <row r="530" spans="58:58" ht="18" customHeight="1" x14ac:dyDescent="0.2">
      <c r="BF530" s="64"/>
    </row>
    <row r="531" spans="58:58" ht="18" customHeight="1" x14ac:dyDescent="0.2">
      <c r="BF531" s="64"/>
    </row>
    <row r="532" spans="58:58" ht="18" customHeight="1" x14ac:dyDescent="0.2">
      <c r="BF532" s="64"/>
    </row>
    <row r="533" spans="58:58" ht="18" customHeight="1" x14ac:dyDescent="0.2">
      <c r="BF533" s="64"/>
    </row>
    <row r="534" spans="58:58" ht="18" customHeight="1" x14ac:dyDescent="0.2">
      <c r="BF534" s="64"/>
    </row>
    <row r="535" spans="58:58" ht="18" customHeight="1" x14ac:dyDescent="0.2">
      <c r="BF535" s="64"/>
    </row>
    <row r="536" spans="58:58" ht="18" customHeight="1" x14ac:dyDescent="0.2">
      <c r="BF536" s="64"/>
    </row>
    <row r="537" spans="58:58" ht="18" customHeight="1" x14ac:dyDescent="0.2">
      <c r="BF537" s="64"/>
    </row>
    <row r="538" spans="58:58" ht="18" customHeight="1" x14ac:dyDescent="0.2">
      <c r="BF538" s="64"/>
    </row>
    <row r="539" spans="58:58" ht="18" customHeight="1" x14ac:dyDescent="0.2">
      <c r="BF539" s="64"/>
    </row>
    <row r="540" spans="58:58" ht="18" customHeight="1" x14ac:dyDescent="0.2">
      <c r="BF540" s="64"/>
    </row>
    <row r="541" spans="58:58" ht="18" customHeight="1" x14ac:dyDescent="0.2">
      <c r="BF541" s="64"/>
    </row>
    <row r="542" spans="58:58" ht="18" customHeight="1" x14ac:dyDescent="0.2">
      <c r="BF542" s="64"/>
    </row>
    <row r="543" spans="58:58" ht="18" customHeight="1" x14ac:dyDescent="0.2">
      <c r="BF543" s="64"/>
    </row>
    <row r="544" spans="58:58" ht="18" customHeight="1" x14ac:dyDescent="0.2">
      <c r="BF544" s="64"/>
    </row>
    <row r="545" spans="58:58" ht="18" customHeight="1" x14ac:dyDescent="0.2">
      <c r="BF545" s="64"/>
    </row>
    <row r="546" spans="58:58" ht="18" customHeight="1" x14ac:dyDescent="0.2">
      <c r="BF546" s="64"/>
    </row>
    <row r="547" spans="58:58" ht="18" customHeight="1" x14ac:dyDescent="0.2">
      <c r="BF547" s="64"/>
    </row>
    <row r="548" spans="58:58" ht="18" customHeight="1" x14ac:dyDescent="0.2">
      <c r="BF548" s="64"/>
    </row>
    <row r="549" spans="58:58" ht="18" customHeight="1" x14ac:dyDescent="0.2">
      <c r="BF549" s="64"/>
    </row>
    <row r="550" spans="58:58" ht="18" customHeight="1" x14ac:dyDescent="0.2">
      <c r="BF550" s="64"/>
    </row>
    <row r="551" spans="58:58" ht="18" customHeight="1" x14ac:dyDescent="0.2">
      <c r="BF551" s="64"/>
    </row>
    <row r="552" spans="58:58" ht="18" customHeight="1" x14ac:dyDescent="0.2">
      <c r="BF552" s="64"/>
    </row>
    <row r="553" spans="58:58" ht="18" customHeight="1" x14ac:dyDescent="0.2">
      <c r="BF553" s="64"/>
    </row>
    <row r="554" spans="58:58" ht="18" customHeight="1" x14ac:dyDescent="0.2">
      <c r="BF554" s="64"/>
    </row>
    <row r="555" spans="58:58" ht="18" customHeight="1" x14ac:dyDescent="0.2">
      <c r="BF555" s="64"/>
    </row>
    <row r="556" spans="58:58" ht="18" customHeight="1" x14ac:dyDescent="0.2">
      <c r="BF556" s="64"/>
    </row>
    <row r="557" spans="58:58" ht="18" customHeight="1" x14ac:dyDescent="0.2">
      <c r="BF557" s="64"/>
    </row>
    <row r="558" spans="58:58" ht="18" customHeight="1" x14ac:dyDescent="0.2">
      <c r="BF558" s="64"/>
    </row>
    <row r="559" spans="58:58" ht="18" customHeight="1" x14ac:dyDescent="0.2">
      <c r="BF559" s="64"/>
    </row>
    <row r="560" spans="58:58" ht="18" customHeight="1" x14ac:dyDescent="0.2">
      <c r="BF560" s="64"/>
    </row>
    <row r="561" spans="58:58" ht="18" customHeight="1" x14ac:dyDescent="0.2">
      <c r="BF561" s="64"/>
    </row>
    <row r="562" spans="58:58" ht="18" customHeight="1" x14ac:dyDescent="0.2">
      <c r="BF562" s="64"/>
    </row>
    <row r="563" spans="58:58" ht="18" customHeight="1" x14ac:dyDescent="0.2">
      <c r="BF563" s="64"/>
    </row>
    <row r="564" spans="58:58" ht="18" customHeight="1" x14ac:dyDescent="0.2">
      <c r="BF564" s="64"/>
    </row>
    <row r="565" spans="58:58" ht="18" customHeight="1" x14ac:dyDescent="0.2">
      <c r="BF565" s="64"/>
    </row>
    <row r="566" spans="58:58" ht="18" customHeight="1" x14ac:dyDescent="0.2">
      <c r="BF566" s="64"/>
    </row>
    <row r="567" spans="58:58" ht="18" customHeight="1" x14ac:dyDescent="0.2">
      <c r="BF567" s="64"/>
    </row>
    <row r="568" spans="58:58" ht="18" customHeight="1" x14ac:dyDescent="0.2">
      <c r="BF568" s="64"/>
    </row>
    <row r="569" spans="58:58" ht="18" customHeight="1" x14ac:dyDescent="0.2">
      <c r="BF569" s="64"/>
    </row>
    <row r="570" spans="58:58" ht="18" customHeight="1" x14ac:dyDescent="0.2">
      <c r="BF570" s="64"/>
    </row>
    <row r="571" spans="58:58" ht="18" customHeight="1" x14ac:dyDescent="0.2">
      <c r="BF571" s="64"/>
    </row>
    <row r="572" spans="58:58" ht="18" customHeight="1" x14ac:dyDescent="0.2">
      <c r="BF572" s="64"/>
    </row>
    <row r="573" spans="58:58" ht="18" customHeight="1" x14ac:dyDescent="0.2">
      <c r="BF573" s="64"/>
    </row>
    <row r="574" spans="58:58" ht="18" customHeight="1" x14ac:dyDescent="0.2">
      <c r="BF574" s="64"/>
    </row>
    <row r="575" spans="58:58" ht="18" customHeight="1" x14ac:dyDescent="0.2">
      <c r="BF575" s="64"/>
    </row>
    <row r="576" spans="58:58" ht="18" customHeight="1" x14ac:dyDescent="0.2">
      <c r="BF576" s="64"/>
    </row>
    <row r="577" spans="58:58" ht="18" customHeight="1" x14ac:dyDescent="0.2">
      <c r="BF577" s="64"/>
    </row>
    <row r="578" spans="58:58" ht="18" customHeight="1" x14ac:dyDescent="0.2">
      <c r="BF578" s="64"/>
    </row>
    <row r="579" spans="58:58" ht="18" customHeight="1" x14ac:dyDescent="0.2">
      <c r="BF579" s="64"/>
    </row>
    <row r="580" spans="58:58" ht="18" customHeight="1" x14ac:dyDescent="0.2">
      <c r="BF580" s="64"/>
    </row>
    <row r="581" spans="58:58" ht="18" customHeight="1" x14ac:dyDescent="0.2">
      <c r="BF581" s="64"/>
    </row>
    <row r="582" spans="58:58" ht="18" customHeight="1" x14ac:dyDescent="0.2">
      <c r="BF582" s="64"/>
    </row>
    <row r="583" spans="58:58" ht="18" customHeight="1" x14ac:dyDescent="0.2">
      <c r="BF583" s="64"/>
    </row>
    <row r="584" spans="58:58" ht="18" customHeight="1" x14ac:dyDescent="0.2">
      <c r="BF584" s="64"/>
    </row>
    <row r="585" spans="58:58" ht="18" customHeight="1" x14ac:dyDescent="0.2">
      <c r="BF585" s="64"/>
    </row>
    <row r="586" spans="58:58" ht="18" customHeight="1" x14ac:dyDescent="0.2">
      <c r="BF586" s="64"/>
    </row>
    <row r="587" spans="58:58" ht="18" customHeight="1" x14ac:dyDescent="0.2">
      <c r="BF587" s="64"/>
    </row>
    <row r="588" spans="58:58" ht="18" customHeight="1" x14ac:dyDescent="0.2">
      <c r="BF588" s="64"/>
    </row>
    <row r="589" spans="58:58" ht="18" customHeight="1" x14ac:dyDescent="0.2">
      <c r="BF589" s="64"/>
    </row>
    <row r="590" spans="58:58" ht="18" customHeight="1" x14ac:dyDescent="0.2">
      <c r="BF590" s="64"/>
    </row>
    <row r="591" spans="58:58" ht="18" customHeight="1" x14ac:dyDescent="0.2">
      <c r="BF591" s="64"/>
    </row>
    <row r="592" spans="58:58" ht="18" customHeight="1" x14ac:dyDescent="0.2">
      <c r="BF592" s="64"/>
    </row>
    <row r="593" spans="58:58" ht="18" customHeight="1" x14ac:dyDescent="0.2">
      <c r="BF593" s="64"/>
    </row>
    <row r="594" spans="58:58" ht="18" customHeight="1" x14ac:dyDescent="0.2">
      <c r="BF594" s="64"/>
    </row>
    <row r="595" spans="58:58" ht="18" customHeight="1" x14ac:dyDescent="0.2">
      <c r="BF595" s="64"/>
    </row>
    <row r="596" spans="58:58" ht="18" customHeight="1" x14ac:dyDescent="0.2">
      <c r="BF596" s="64"/>
    </row>
    <row r="597" spans="58:58" ht="18" customHeight="1" x14ac:dyDescent="0.2">
      <c r="BF597" s="64"/>
    </row>
    <row r="598" spans="58:58" ht="18" customHeight="1" x14ac:dyDescent="0.2">
      <c r="BF598" s="64"/>
    </row>
    <row r="599" spans="58:58" ht="18" customHeight="1" x14ac:dyDescent="0.2">
      <c r="BF599" s="64"/>
    </row>
    <row r="600" spans="58:58" ht="18" customHeight="1" x14ac:dyDescent="0.2">
      <c r="BF600" s="64"/>
    </row>
    <row r="601" spans="58:58" ht="18" customHeight="1" x14ac:dyDescent="0.2">
      <c r="BF601" s="64"/>
    </row>
    <row r="602" spans="58:58" ht="18" customHeight="1" x14ac:dyDescent="0.2">
      <c r="BF602" s="64"/>
    </row>
    <row r="603" spans="58:58" ht="18" customHeight="1" x14ac:dyDescent="0.2">
      <c r="BF603" s="64"/>
    </row>
    <row r="604" spans="58:58" ht="18" customHeight="1" x14ac:dyDescent="0.2">
      <c r="BF604" s="64"/>
    </row>
    <row r="605" spans="58:58" ht="18" customHeight="1" x14ac:dyDescent="0.2">
      <c r="BF605" s="64"/>
    </row>
    <row r="606" spans="58:58" ht="18" customHeight="1" x14ac:dyDescent="0.2">
      <c r="BF606" s="64"/>
    </row>
    <row r="607" spans="58:58" ht="18" customHeight="1" x14ac:dyDescent="0.2">
      <c r="BF607" s="64"/>
    </row>
    <row r="608" spans="58:58" ht="18" customHeight="1" x14ac:dyDescent="0.2">
      <c r="BF608" s="64"/>
    </row>
    <row r="609" spans="58:58" ht="18" customHeight="1" x14ac:dyDescent="0.2">
      <c r="BF609" s="64"/>
    </row>
    <row r="610" spans="58:58" ht="18" customHeight="1" x14ac:dyDescent="0.2">
      <c r="BF610" s="64"/>
    </row>
    <row r="611" spans="58:58" ht="18" customHeight="1" x14ac:dyDescent="0.2">
      <c r="BF611" s="64"/>
    </row>
    <row r="612" spans="58:58" ht="18" customHeight="1" x14ac:dyDescent="0.2">
      <c r="BF612" s="64"/>
    </row>
    <row r="613" spans="58:58" ht="18" customHeight="1" x14ac:dyDescent="0.2">
      <c r="BF613" s="64"/>
    </row>
    <row r="614" spans="58:58" ht="18" customHeight="1" x14ac:dyDescent="0.2">
      <c r="BF614" s="64"/>
    </row>
    <row r="615" spans="58:58" ht="18" customHeight="1" x14ac:dyDescent="0.2">
      <c r="BF615" s="64"/>
    </row>
    <row r="616" spans="58:58" ht="18" customHeight="1" x14ac:dyDescent="0.2">
      <c r="BF616" s="64"/>
    </row>
    <row r="617" spans="58:58" ht="18" customHeight="1" x14ac:dyDescent="0.2">
      <c r="BF617" s="64"/>
    </row>
    <row r="618" spans="58:58" ht="18" customHeight="1" x14ac:dyDescent="0.2">
      <c r="BF618" s="64"/>
    </row>
    <row r="619" spans="58:58" ht="18" customHeight="1" x14ac:dyDescent="0.2">
      <c r="BF619" s="64"/>
    </row>
    <row r="620" spans="58:58" ht="18" customHeight="1" x14ac:dyDescent="0.2">
      <c r="BF620" s="64"/>
    </row>
    <row r="621" spans="58:58" ht="18" customHeight="1" x14ac:dyDescent="0.2">
      <c r="BF621" s="64"/>
    </row>
    <row r="622" spans="58:58" ht="18" customHeight="1" x14ac:dyDescent="0.2">
      <c r="BF622" s="64"/>
    </row>
    <row r="623" spans="58:58" ht="18" customHeight="1" x14ac:dyDescent="0.2">
      <c r="BF623" s="64"/>
    </row>
    <row r="624" spans="58:58" ht="18" customHeight="1" x14ac:dyDescent="0.2">
      <c r="BF624" s="64"/>
    </row>
    <row r="625" spans="58:58" ht="18" customHeight="1" x14ac:dyDescent="0.2">
      <c r="BF625" s="64"/>
    </row>
    <row r="626" spans="58:58" ht="18" customHeight="1" x14ac:dyDescent="0.2">
      <c r="BF626" s="64"/>
    </row>
    <row r="627" spans="58:58" ht="18" customHeight="1" x14ac:dyDescent="0.2">
      <c r="BF627" s="64"/>
    </row>
    <row r="628" spans="58:58" ht="18" customHeight="1" x14ac:dyDescent="0.2">
      <c r="BF628" s="64"/>
    </row>
    <row r="629" spans="58:58" ht="18" customHeight="1" x14ac:dyDescent="0.2">
      <c r="BF629" s="64"/>
    </row>
    <row r="630" spans="58:58" ht="18" customHeight="1" x14ac:dyDescent="0.2">
      <c r="BF630" s="64"/>
    </row>
    <row r="631" spans="58:58" ht="18" customHeight="1" x14ac:dyDescent="0.2">
      <c r="BF631" s="64"/>
    </row>
    <row r="632" spans="58:58" ht="18" customHeight="1" x14ac:dyDescent="0.2">
      <c r="BF632" s="64"/>
    </row>
    <row r="633" spans="58:58" ht="18" customHeight="1" x14ac:dyDescent="0.2">
      <c r="BF633" s="64"/>
    </row>
    <row r="634" spans="58:58" ht="18" customHeight="1" x14ac:dyDescent="0.2">
      <c r="BF634" s="64"/>
    </row>
    <row r="635" spans="58:58" ht="18" customHeight="1" x14ac:dyDescent="0.2">
      <c r="BF635" s="64"/>
    </row>
    <row r="636" spans="58:58" ht="18" customHeight="1" x14ac:dyDescent="0.2">
      <c r="BF636" s="64"/>
    </row>
    <row r="637" spans="58:58" ht="18" customHeight="1" x14ac:dyDescent="0.2">
      <c r="BF637" s="64"/>
    </row>
    <row r="638" spans="58:58" ht="18" customHeight="1" x14ac:dyDescent="0.2">
      <c r="BF638" s="64"/>
    </row>
    <row r="639" spans="58:58" ht="18" customHeight="1" x14ac:dyDescent="0.2">
      <c r="BF639" s="64"/>
    </row>
    <row r="640" spans="58:58" ht="18" customHeight="1" x14ac:dyDescent="0.2">
      <c r="BF640" s="64"/>
    </row>
    <row r="641" spans="58:58" ht="18" customHeight="1" x14ac:dyDescent="0.2">
      <c r="BF641" s="64"/>
    </row>
    <row r="642" spans="58:58" ht="18" customHeight="1" x14ac:dyDescent="0.2">
      <c r="BF642" s="64"/>
    </row>
    <row r="643" spans="58:58" ht="18" customHeight="1" x14ac:dyDescent="0.2">
      <c r="BF643" s="64"/>
    </row>
    <row r="644" spans="58:58" ht="18" customHeight="1" x14ac:dyDescent="0.2">
      <c r="BF644" s="64"/>
    </row>
    <row r="645" spans="58:58" ht="18" customHeight="1" x14ac:dyDescent="0.2">
      <c r="BF645" s="64"/>
    </row>
    <row r="646" spans="58:58" ht="18" customHeight="1" x14ac:dyDescent="0.2">
      <c r="BF646" s="64"/>
    </row>
    <row r="647" spans="58:58" ht="18" customHeight="1" x14ac:dyDescent="0.2">
      <c r="BF647" s="64"/>
    </row>
    <row r="648" spans="58:58" ht="18" customHeight="1" x14ac:dyDescent="0.2">
      <c r="BF648" s="64"/>
    </row>
    <row r="649" spans="58:58" ht="18" customHeight="1" x14ac:dyDescent="0.2">
      <c r="BF649" s="64"/>
    </row>
    <row r="650" spans="58:58" ht="18" customHeight="1" x14ac:dyDescent="0.2">
      <c r="BF650" s="64"/>
    </row>
    <row r="651" spans="58:58" ht="18" customHeight="1" x14ac:dyDescent="0.2">
      <c r="BF651" s="64"/>
    </row>
    <row r="652" spans="58:58" ht="18" customHeight="1" x14ac:dyDescent="0.2">
      <c r="BF652" s="64"/>
    </row>
    <row r="653" spans="58:58" ht="18" customHeight="1" x14ac:dyDescent="0.2">
      <c r="BF653" s="64"/>
    </row>
  </sheetData>
  <sheetProtection formatColumns="0"/>
  <pageMargins left="0.7" right="0.7" top="0.75" bottom="0.75" header="0.3" footer="0.3"/>
  <pageSetup paperSize="9" scale="10"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E590"/>
  <sheetViews>
    <sheetView showZeros="0" topLeftCell="O1" zoomScaleNormal="100" workbookViewId="0">
      <selection activeCell="AA121" sqref="AA121"/>
    </sheetView>
  </sheetViews>
  <sheetFormatPr defaultColWidth="9.33203125" defaultRowHeight="12" x14ac:dyDescent="0.2"/>
  <cols>
    <col min="1" max="1" width="9.33203125" style="9"/>
    <col min="2" max="2" width="56.5" style="10" bestFit="1" customWidth="1"/>
    <col min="3" max="3" width="19" style="798" bestFit="1" customWidth="1"/>
    <col min="4" max="4" width="12" style="187" bestFit="1" customWidth="1"/>
    <col min="5" max="5" width="12.6640625" style="10" bestFit="1" customWidth="1"/>
    <col min="6" max="6" width="19" style="798" bestFit="1" customWidth="1"/>
    <col min="7" max="7" width="12" style="187" bestFit="1" customWidth="1"/>
    <col min="8" max="8" width="12.6640625" style="9" bestFit="1" customWidth="1"/>
    <col min="9" max="9" width="19" style="798" bestFit="1" customWidth="1"/>
    <col min="10" max="10" width="11.6640625" style="187" bestFit="1" customWidth="1"/>
    <col min="11" max="11" width="12.6640625" style="9" bestFit="1" customWidth="1"/>
    <col min="12" max="12" width="4" style="15" customWidth="1"/>
    <col min="13" max="13" width="37" style="9" customWidth="1"/>
    <col min="14" max="14" width="7.1640625" style="9" bestFit="1" customWidth="1"/>
    <col min="15" max="15" width="7.1640625" style="9" customWidth="1"/>
    <col min="16" max="16" width="8.33203125" style="9" bestFit="1" customWidth="1"/>
    <col min="17" max="17" width="8.33203125" style="9" customWidth="1"/>
    <col min="18" max="18" width="4" style="9" customWidth="1"/>
    <col min="19" max="19" width="55.33203125" style="9" customWidth="1"/>
    <col min="20" max="20" width="21.83203125" style="9" customWidth="1"/>
    <col min="21" max="21" width="17" style="9" customWidth="1"/>
    <col min="22" max="22" width="12.6640625" style="9" customWidth="1"/>
    <col min="23" max="23" width="21.83203125" style="9" customWidth="1"/>
    <col min="24" max="24" width="12.83203125" style="9" customWidth="1"/>
    <col min="25" max="25" width="12.6640625" style="9" customWidth="1"/>
    <col min="26" max="26" width="21.83203125" style="9" customWidth="1"/>
    <col min="27" max="27" width="12.83203125" style="9" customWidth="1"/>
    <col min="28" max="28" width="12.6640625" style="9" customWidth="1"/>
    <col min="29" max="29" width="9" style="9" customWidth="1"/>
    <col min="30" max="30" width="15.1640625" style="9" bestFit="1" customWidth="1"/>
    <col min="31" max="31" width="32.33203125" style="9" bestFit="1" customWidth="1"/>
    <col min="32" max="37" width="12.83203125" style="9" customWidth="1"/>
    <col min="38" max="39" width="15.5" style="9" bestFit="1" customWidth="1"/>
    <col min="40" max="40" width="15.33203125" style="9" bestFit="1" customWidth="1"/>
    <col min="41" max="42" width="15.33203125" style="14" customWidth="1"/>
    <col min="43" max="43" width="21.83203125" style="14" bestFit="1" customWidth="1"/>
    <col min="44" max="46" width="15.33203125" style="14" customWidth="1"/>
    <col min="47" max="47" width="9.33203125" style="9"/>
    <col min="48" max="48" width="21.1640625" style="9" customWidth="1"/>
    <col min="49" max="49" width="10.5" style="9" bestFit="1" customWidth="1"/>
    <col min="50" max="50" width="11.5" style="9" bestFit="1" customWidth="1"/>
    <col min="51" max="55" width="9.33203125" style="9"/>
    <col min="56" max="56" width="10.5" style="9" bestFit="1" customWidth="1"/>
    <col min="57" max="57" width="14.1640625" style="9" bestFit="1" customWidth="1"/>
    <col min="58" max="16384" width="9.33203125" style="9"/>
  </cols>
  <sheetData>
    <row r="1" spans="2:57" ht="12.75" thickBot="1" x14ac:dyDescent="0.25">
      <c r="AE1" s="18"/>
      <c r="AF1" s="18"/>
      <c r="AG1" s="18"/>
      <c r="AH1" s="18"/>
      <c r="AI1" s="18"/>
      <c r="AJ1" s="18"/>
      <c r="AK1" s="18"/>
      <c r="AL1" s="18"/>
      <c r="AM1" s="18"/>
      <c r="AN1" s="18"/>
      <c r="AO1" s="18"/>
      <c r="AP1" s="18"/>
      <c r="AQ1" s="18"/>
      <c r="AR1" s="18"/>
      <c r="AS1" s="18"/>
      <c r="AT1" s="18"/>
    </row>
    <row r="2" spans="2:57" ht="16.5" thickBot="1" x14ac:dyDescent="0.3">
      <c r="B2" s="49" t="s">
        <v>545</v>
      </c>
      <c r="C2" s="1024"/>
      <c r="D2" s="188"/>
      <c r="E2" s="13"/>
      <c r="F2" s="1032"/>
      <c r="G2" s="753"/>
      <c r="H2" s="11"/>
      <c r="I2" s="1032"/>
      <c r="J2" s="753"/>
      <c r="K2" s="12"/>
      <c r="L2" s="14"/>
      <c r="M2" s="1034"/>
      <c r="N2" s="848"/>
      <c r="O2" s="1035" t="s">
        <v>681</v>
      </c>
      <c r="P2" s="1036" t="s">
        <v>283</v>
      </c>
      <c r="Q2" s="1804" t="s">
        <v>1212</v>
      </c>
      <c r="R2" s="18"/>
      <c r="S2" s="1004" t="s">
        <v>671</v>
      </c>
      <c r="T2" s="1030"/>
      <c r="U2" s="1005"/>
      <c r="V2" s="1006"/>
      <c r="W2" s="1033"/>
      <c r="X2" s="1008"/>
      <c r="Y2" s="1007"/>
      <c r="Z2" s="1033"/>
      <c r="AA2" s="1008"/>
      <c r="AB2" s="1009"/>
      <c r="AC2" s="18"/>
      <c r="AD2" s="206" t="s">
        <v>1218</v>
      </c>
      <c r="AE2" s="207"/>
      <c r="AF2" s="207"/>
      <c r="AG2" s="207"/>
      <c r="AH2" s="207"/>
      <c r="AI2" s="207"/>
      <c r="AJ2" s="207"/>
      <c r="AK2" s="207"/>
      <c r="AL2" s="207"/>
      <c r="AM2" s="208"/>
      <c r="AN2" s="18"/>
      <c r="AO2" s="206" t="s">
        <v>714</v>
      </c>
      <c r="AP2" s="207"/>
      <c r="AQ2" s="207"/>
      <c r="AR2" s="207"/>
      <c r="AS2" s="207"/>
      <c r="AT2" s="208"/>
      <c r="AV2" s="1784" t="s">
        <v>713</v>
      </c>
      <c r="AW2" s="1785"/>
      <c r="AX2" s="1785"/>
      <c r="AY2" s="1785"/>
      <c r="AZ2" s="1785"/>
      <c r="BA2" s="1785"/>
      <c r="BB2" s="1785"/>
      <c r="BC2" s="1785"/>
      <c r="BD2" s="1785"/>
      <c r="BE2" s="1786"/>
    </row>
    <row r="3" spans="2:57" ht="12.75" thickBot="1" x14ac:dyDescent="0.25">
      <c r="B3" s="29" t="s">
        <v>426</v>
      </c>
      <c r="C3" s="1025"/>
      <c r="D3" s="186">
        <f>'01_ALGEMEEN'!F13</f>
        <v>10</v>
      </c>
      <c r="E3" s="18" t="s">
        <v>17</v>
      </c>
      <c r="F3" s="1025" t="s">
        <v>70</v>
      </c>
      <c r="G3" s="751">
        <f>'01_ALGEMEEN'!E13</f>
        <v>5</v>
      </c>
      <c r="H3" s="18" t="s">
        <v>538</v>
      </c>
      <c r="I3" s="1025"/>
      <c r="J3" s="186"/>
      <c r="K3" s="859"/>
      <c r="M3" s="853" t="str">
        <f>KEUZELIJSTEN!P35</f>
        <v>ihwg beton</v>
      </c>
      <c r="N3" s="1034" t="s">
        <v>0</v>
      </c>
      <c r="O3" s="854"/>
      <c r="P3" s="17"/>
      <c r="Q3" s="854">
        <v>2400</v>
      </c>
      <c r="R3" s="14"/>
      <c r="S3" s="1017" t="s">
        <v>675</v>
      </c>
      <c r="T3" s="1031"/>
      <c r="U3" s="842"/>
      <c r="V3" s="1014"/>
      <c r="W3" s="1031"/>
      <c r="X3" s="842"/>
      <c r="Y3" s="1015"/>
      <c r="Z3" s="1031"/>
      <c r="AA3" s="842"/>
      <c r="AB3" s="1016"/>
      <c r="AC3" s="14"/>
      <c r="AD3" s="29"/>
      <c r="AE3" s="14"/>
      <c r="AF3" s="33"/>
      <c r="AG3" s="33"/>
      <c r="AH3" s="213"/>
      <c r="AI3" s="166"/>
      <c r="AJ3" s="33"/>
      <c r="AK3" s="14"/>
      <c r="AL3" s="18"/>
      <c r="AM3" s="194"/>
      <c r="AN3" s="22"/>
      <c r="AO3" s="1390" t="s">
        <v>868</v>
      </c>
      <c r="AP3" s="1391"/>
      <c r="AQ3" s="1392"/>
      <c r="AR3" s="1391"/>
      <c r="AS3" s="1393"/>
      <c r="AT3" s="1394"/>
      <c r="AV3" s="1787"/>
      <c r="AW3" s="1788"/>
      <c r="AX3" s="1789"/>
      <c r="AY3" s="1788"/>
      <c r="AZ3" s="1788"/>
      <c r="BA3" s="1789"/>
      <c r="BB3" s="1788"/>
      <c r="BC3" s="1788"/>
      <c r="BD3" s="848"/>
      <c r="BE3" s="923"/>
    </row>
    <row r="4" spans="2:57" x14ac:dyDescent="0.2">
      <c r="B4" s="29" t="s">
        <v>427</v>
      </c>
      <c r="C4" s="1025"/>
      <c r="D4" s="186">
        <f>'01_ALGEMEEN'!F14</f>
        <v>3.7</v>
      </c>
      <c r="E4" s="18" t="s">
        <v>17</v>
      </c>
      <c r="F4" s="1025" t="s">
        <v>65</v>
      </c>
      <c r="G4" s="186">
        <f>'01_ALGEMEEN'!E14</f>
        <v>9</v>
      </c>
      <c r="H4" s="18" t="s">
        <v>538</v>
      </c>
      <c r="I4" s="1025"/>
      <c r="J4" s="186"/>
      <c r="K4" s="859"/>
      <c r="M4" s="854" t="str">
        <f>KEUZELIJSTEN!P36</f>
        <v>prefab beton</v>
      </c>
      <c r="N4" s="15" t="s">
        <v>0</v>
      </c>
      <c r="O4" s="854"/>
      <c r="P4" s="17"/>
      <c r="Q4" s="854">
        <v>2400</v>
      </c>
      <c r="R4" s="14"/>
      <c r="S4" s="1018"/>
      <c r="T4" s="1871" t="s">
        <v>673</v>
      </c>
      <c r="U4" s="1872"/>
      <c r="V4" s="1873"/>
      <c r="W4" s="1871" t="s">
        <v>672</v>
      </c>
      <c r="X4" s="1872"/>
      <c r="Y4" s="1873"/>
      <c r="Z4" s="1871" t="s">
        <v>517</v>
      </c>
      <c r="AA4" s="1872"/>
      <c r="AB4" s="1873"/>
      <c r="AC4" s="14"/>
      <c r="AD4" s="15"/>
      <c r="AE4" s="14"/>
      <c r="AF4" s="14" t="s">
        <v>1219</v>
      </c>
      <c r="AG4" s="14" t="s">
        <v>81</v>
      </c>
      <c r="AH4" s="14" t="s">
        <v>0</v>
      </c>
      <c r="AI4" s="14"/>
      <c r="AJ4" s="14"/>
      <c r="AK4" s="14"/>
      <c r="AL4" s="14"/>
      <c r="AM4" s="17"/>
      <c r="AN4" s="14"/>
      <c r="AO4" s="1377" t="s">
        <v>311</v>
      </c>
      <c r="AP4" s="999" t="s">
        <v>310</v>
      </c>
      <c r="AQ4" s="999"/>
      <c r="AR4" s="1378" t="s">
        <v>309</v>
      </c>
      <c r="AS4" s="999" t="s">
        <v>310</v>
      </c>
      <c r="AT4" s="1376" t="s">
        <v>311</v>
      </c>
      <c r="AV4" s="218" t="s">
        <v>311</v>
      </c>
      <c r="AW4" s="214" t="s">
        <v>310</v>
      </c>
      <c r="AX4" s="214"/>
      <c r="AY4" s="214" t="s">
        <v>140</v>
      </c>
      <c r="AZ4" s="1000" t="s">
        <v>289</v>
      </c>
      <c r="BA4" s="1000" t="s">
        <v>234</v>
      </c>
      <c r="BB4" s="1000" t="s">
        <v>309</v>
      </c>
      <c r="BC4" s="215" t="s">
        <v>309</v>
      </c>
      <c r="BD4" s="214" t="s">
        <v>310</v>
      </c>
      <c r="BE4" s="1790" t="s">
        <v>311</v>
      </c>
    </row>
    <row r="5" spans="2:57" x14ac:dyDescent="0.2">
      <c r="B5" s="15" t="s">
        <v>641</v>
      </c>
      <c r="D5" s="191">
        <f>'01_ALGEMEEN'!F51</f>
        <v>16276</v>
      </c>
      <c r="E5" s="14" t="s">
        <v>81</v>
      </c>
      <c r="J5" s="157"/>
      <c r="K5" s="14"/>
      <c r="M5" s="854" t="str">
        <f>KEUZELIJSTEN!P37</f>
        <v>gewalst staal S235</v>
      </c>
      <c r="N5" s="15" t="s">
        <v>2</v>
      </c>
      <c r="O5" s="854">
        <v>200</v>
      </c>
      <c r="P5" s="17">
        <v>210000</v>
      </c>
      <c r="Q5" s="854"/>
      <c r="R5" s="14"/>
      <c r="S5" s="818" t="s">
        <v>681</v>
      </c>
      <c r="T5" s="827" t="str">
        <f>'01_ALGEMEEN'!$D$109</f>
        <v>gewalst staal S355</v>
      </c>
      <c r="U5" s="190">
        <f>VLOOKUP(T5,$M$3:$P$11,3,0)</f>
        <v>300</v>
      </c>
      <c r="V5" s="14" t="s">
        <v>139</v>
      </c>
      <c r="W5" s="825" t="str">
        <f>'01_ALGEMEEN'!$D$154</f>
        <v>gewalst staal S235</v>
      </c>
      <c r="X5" s="190">
        <f>VLOOKUP(W5,$M$3:$P$11,3,0)</f>
        <v>200</v>
      </c>
      <c r="Y5" s="14" t="s">
        <v>139</v>
      </c>
      <c r="Z5" s="825" t="str">
        <f>'01_ALGEMEEN'!$D$198</f>
        <v>gewalst staal S355</v>
      </c>
      <c r="AA5" s="190">
        <f>VLOOKUP(Z5,$M$3:$P$11,3,0)</f>
        <v>300</v>
      </c>
      <c r="AB5" s="923" t="s">
        <v>139</v>
      </c>
      <c r="AC5" s="14"/>
      <c r="AD5" s="15"/>
      <c r="AE5" s="209"/>
      <c r="AF5" s="1805" t="s">
        <v>207</v>
      </c>
      <c r="AG5" s="1806"/>
      <c r="AH5" s="38"/>
      <c r="AI5" s="38"/>
      <c r="AJ5" s="38"/>
      <c r="AK5" s="38"/>
      <c r="AL5" s="917"/>
      <c r="AM5" s="917"/>
      <c r="AN5" s="14"/>
      <c r="AO5" s="1377" t="s">
        <v>315</v>
      </c>
      <c r="AP5" s="999" t="s">
        <v>314</v>
      </c>
      <c r="AQ5" s="999"/>
      <c r="AR5" s="1378" t="s">
        <v>313</v>
      </c>
      <c r="AS5" s="999" t="s">
        <v>314</v>
      </c>
      <c r="AT5" s="1376" t="s">
        <v>315</v>
      </c>
      <c r="AV5" s="1791" t="s">
        <v>315</v>
      </c>
      <c r="AW5" s="1792" t="s">
        <v>314</v>
      </c>
      <c r="AX5" s="1792"/>
      <c r="AY5" s="1792" t="s">
        <v>312</v>
      </c>
      <c r="AZ5" s="1793" t="s">
        <v>312</v>
      </c>
      <c r="BA5" s="1793" t="s">
        <v>662</v>
      </c>
      <c r="BB5" s="1794" t="s">
        <v>663</v>
      </c>
      <c r="BC5" s="1794" t="s">
        <v>313</v>
      </c>
      <c r="BD5" s="1792" t="s">
        <v>314</v>
      </c>
      <c r="BE5" s="1795" t="s">
        <v>315</v>
      </c>
    </row>
    <row r="6" spans="2:57" x14ac:dyDescent="0.2">
      <c r="B6" s="737" t="s">
        <v>674</v>
      </c>
      <c r="C6" s="1865" t="s">
        <v>673</v>
      </c>
      <c r="D6" s="1866"/>
      <c r="E6" s="1866"/>
      <c r="F6" s="1867" t="s">
        <v>672</v>
      </c>
      <c r="G6" s="1868"/>
      <c r="H6" s="1869"/>
      <c r="I6" s="1866" t="s">
        <v>517</v>
      </c>
      <c r="J6" s="1866"/>
      <c r="K6" s="1870"/>
      <c r="M6" s="854" t="str">
        <f>KEUZELIJSTEN!P38</f>
        <v>gewalst staal S355</v>
      </c>
      <c r="N6" s="15" t="s">
        <v>2</v>
      </c>
      <c r="O6" s="854">
        <v>300</v>
      </c>
      <c r="P6" s="17">
        <v>210000</v>
      </c>
      <c r="Q6" s="854"/>
      <c r="R6" s="14"/>
      <c r="S6" s="818" t="s">
        <v>283</v>
      </c>
      <c r="T6" s="825"/>
      <c r="U6" s="190">
        <f>VLOOKUP(T5,$M$3:$P$11,4,0)</f>
        <v>210000</v>
      </c>
      <c r="V6" s="22" t="s">
        <v>139</v>
      </c>
      <c r="W6" s="825"/>
      <c r="X6" s="190">
        <f>VLOOKUP(W5,$M$3:$P$11,4,0)</f>
        <v>210000</v>
      </c>
      <c r="Y6" s="22" t="s">
        <v>139</v>
      </c>
      <c r="Z6" s="825"/>
      <c r="AA6" s="190">
        <f>VLOOKUP(Z5,$M$3:$P$11,4,0)</f>
        <v>210000</v>
      </c>
      <c r="AB6" s="194" t="s">
        <v>139</v>
      </c>
      <c r="AC6" s="14"/>
      <c r="AD6" s="15"/>
      <c r="AE6" s="39"/>
      <c r="AF6" s="40" t="s">
        <v>1213</v>
      </c>
      <c r="AG6" s="41" t="s">
        <v>1214</v>
      </c>
      <c r="AH6" s="41" t="s">
        <v>1215</v>
      </c>
      <c r="AI6" s="41"/>
      <c r="AJ6" s="41"/>
      <c r="AK6" s="41"/>
      <c r="AL6" s="918"/>
      <c r="AM6" s="918"/>
      <c r="AN6" s="18"/>
      <c r="AO6" s="1377">
        <v>801000</v>
      </c>
      <c r="AP6" s="999">
        <v>20030</v>
      </c>
      <c r="AQ6" s="999" t="s">
        <v>316</v>
      </c>
      <c r="AR6" s="1378">
        <v>5.9817000000000009</v>
      </c>
      <c r="AS6" s="999">
        <f>AP6</f>
        <v>20030</v>
      </c>
      <c r="AT6" s="1376">
        <f>AO6</f>
        <v>801000</v>
      </c>
      <c r="AV6" s="1778">
        <f t="shared" ref="AV6:AV40" si="0">1/12*AY6*AZ6^3</f>
        <v>359999999.99999994</v>
      </c>
      <c r="AW6" s="1778">
        <f t="shared" ref="AW6:AW40" si="1">1/6*AY6*AZ6^2</f>
        <v>2400000</v>
      </c>
      <c r="AX6" s="1779" t="str">
        <f t="shared" ref="AX6:AX33" si="2">CONCATENATE("GL",AY6,"*",AZ6)</f>
        <v>GL160*300</v>
      </c>
      <c r="AY6" s="1780">
        <v>160</v>
      </c>
      <c r="AZ6" s="1780">
        <v>300</v>
      </c>
      <c r="BA6" s="1781">
        <f t="shared" ref="BA6:BA40" si="3">AY6*AZ6</f>
        <v>48000</v>
      </c>
      <c r="BB6" s="1780">
        <v>380</v>
      </c>
      <c r="BC6" s="1782">
        <f t="shared" ref="BC6:BC40" si="4">BA6*BB6*10^(-6)</f>
        <v>18.239999999999998</v>
      </c>
      <c r="BD6" s="1783">
        <f t="shared" ref="BD6:BD40" si="5">AW6</f>
        <v>2400000</v>
      </c>
      <c r="BE6" s="1783">
        <f t="shared" ref="BE6:BE40" si="6">AV6</f>
        <v>359999999.99999994</v>
      </c>
    </row>
    <row r="7" spans="2:57" x14ac:dyDescent="0.2">
      <c r="B7" s="199" t="s">
        <v>621</v>
      </c>
      <c r="C7" s="827" t="str">
        <f>'01_ALGEMEEN'!D109</f>
        <v>gewalst staal S355</v>
      </c>
      <c r="D7" s="752" t="str">
        <f>VLOOKUP(C7,$M$3:$N$11,2,0)</f>
        <v>staal</v>
      </c>
      <c r="E7" s="201"/>
      <c r="F7" s="190" t="str">
        <f>'01_ALGEMEEN'!D154</f>
        <v>gewalst staal S235</v>
      </c>
      <c r="G7" s="190" t="str">
        <f>VLOOKUP(F7,$M$3:$N$11,2,0)</f>
        <v>staal</v>
      </c>
      <c r="H7" s="17"/>
      <c r="I7" s="752" t="str">
        <f>'01_ALGEMEEN'!D198</f>
        <v>gewalst staal S355</v>
      </c>
      <c r="J7" s="752" t="str">
        <f>VLOOKUP(I7,$M$3:$N$11,2,0)</f>
        <v>staal</v>
      </c>
      <c r="K7" s="848"/>
      <c r="M7" s="854" t="str">
        <f>KEUZELIJSTEN!P39</f>
        <v>gewalst staal S460</v>
      </c>
      <c r="N7" s="15" t="s">
        <v>2</v>
      </c>
      <c r="O7" s="854">
        <v>400</v>
      </c>
      <c r="P7" s="17">
        <v>210000</v>
      </c>
      <c r="Q7" s="854"/>
      <c r="R7" s="17"/>
      <c r="S7" s="10"/>
      <c r="T7" s="798"/>
      <c r="U7" s="187"/>
      <c r="V7" s="10"/>
      <c r="W7" s="798"/>
      <c r="X7" s="187"/>
      <c r="Z7" s="798"/>
      <c r="AA7" s="187"/>
      <c r="AB7" s="17"/>
      <c r="AC7" s="14"/>
      <c r="AD7" s="15"/>
      <c r="AE7" s="39" t="s">
        <v>1216</v>
      </c>
      <c r="AF7" s="1803">
        <f>D11^2/150</f>
        <v>0.66666666666666663</v>
      </c>
      <c r="AG7" s="1803">
        <f>G11^2/150</f>
        <v>0.66666666666666663</v>
      </c>
      <c r="AH7" s="1803">
        <f>J11^2/150</f>
        <v>0.66666666666666663</v>
      </c>
      <c r="AI7" s="42"/>
      <c r="AJ7" s="42"/>
      <c r="AK7" s="42"/>
      <c r="AL7" s="912"/>
      <c r="AM7" s="912"/>
      <c r="AN7" s="18"/>
      <c r="AO7" s="1377">
        <v>1710000</v>
      </c>
      <c r="AP7" s="999">
        <v>34200</v>
      </c>
      <c r="AQ7" s="999" t="s">
        <v>317</v>
      </c>
      <c r="AR7" s="1378">
        <v>8.0855000000000015</v>
      </c>
      <c r="AS7" s="999">
        <f t="shared" ref="AS7:AS22" si="7">AP7</f>
        <v>34200</v>
      </c>
      <c r="AT7" s="1376">
        <f t="shared" ref="AT7:AT22" si="8">AO7</f>
        <v>1710000</v>
      </c>
      <c r="AV7" s="1778">
        <f t="shared" si="0"/>
        <v>405000000</v>
      </c>
      <c r="AW7" s="1778">
        <f t="shared" si="1"/>
        <v>2700000</v>
      </c>
      <c r="AX7" s="1779" t="str">
        <f t="shared" si="2"/>
        <v>GL180*300</v>
      </c>
      <c r="AY7" s="1780">
        <v>180</v>
      </c>
      <c r="AZ7" s="1780">
        <v>300</v>
      </c>
      <c r="BA7" s="1781">
        <f t="shared" si="3"/>
        <v>54000</v>
      </c>
      <c r="BB7" s="1780">
        <v>380</v>
      </c>
      <c r="BC7" s="1782">
        <f t="shared" si="4"/>
        <v>20.52</v>
      </c>
      <c r="BD7" s="1783">
        <f t="shared" si="5"/>
        <v>2700000</v>
      </c>
      <c r="BE7" s="1783">
        <f t="shared" si="6"/>
        <v>405000000</v>
      </c>
    </row>
    <row r="8" spans="2:57" x14ac:dyDescent="0.2">
      <c r="B8" s="189" t="s">
        <v>622</v>
      </c>
      <c r="C8" s="1010" t="str">
        <f>'01_ALGEMEEN'!D123</f>
        <v>gewalst staal S235</v>
      </c>
      <c r="D8" s="846" t="str">
        <f>VLOOKUP(C8,$M$3:$N$11,2,0)</f>
        <v>staal</v>
      </c>
      <c r="E8" s="202"/>
      <c r="F8" s="846" t="str">
        <f>'01_ALGEMEEN'!D168</f>
        <v>gewalst staal S235</v>
      </c>
      <c r="G8" s="846" t="str">
        <f>VLOOKUP(F8,$M$3:$N$11,2,0)</f>
        <v>staal</v>
      </c>
      <c r="H8" s="21"/>
      <c r="I8" s="846" t="str">
        <f>'01_ALGEMEEN'!D212</f>
        <v>gelamineerd hout</v>
      </c>
      <c r="J8" s="846" t="str">
        <f>VLOOKUP(I8,$M$3:$N$11,2,0)</f>
        <v>hout</v>
      </c>
      <c r="K8" s="20"/>
      <c r="M8" s="854" t="str">
        <f>KEUZELIJSTEN!P40</f>
        <v>gelamineerd hout</v>
      </c>
      <c r="N8" s="15" t="s">
        <v>1</v>
      </c>
      <c r="O8" s="854">
        <v>14</v>
      </c>
      <c r="P8" s="17">
        <v>11500</v>
      </c>
      <c r="Q8" s="854"/>
      <c r="R8" s="17"/>
      <c r="S8" s="1374" t="s">
        <v>895</v>
      </c>
      <c r="T8" s="798"/>
      <c r="U8" s="157" t="str">
        <f>'01_ALGEMEEN'!$E$109</f>
        <v>THQ</v>
      </c>
      <c r="V8" s="33"/>
      <c r="W8" s="798"/>
      <c r="X8" s="157" t="str">
        <f>'01_ALGEMEEN'!$E$154</f>
        <v>THQ</v>
      </c>
      <c r="Y8" s="33"/>
      <c r="Z8" s="798"/>
      <c r="AA8" s="157" t="str">
        <f>'01_ALGEMEEN'!$E$198</f>
        <v>HEA</v>
      </c>
      <c r="AB8" s="192"/>
      <c r="AC8" s="14"/>
      <c r="AD8" s="15"/>
      <c r="AE8" s="39" t="s">
        <v>1217</v>
      </c>
      <c r="AF8" s="1803">
        <f>D12^2/150</f>
        <v>9.1266666666666676E-2</v>
      </c>
      <c r="AG8" s="1803">
        <f>G12^2/150</f>
        <v>9.1266666666666676E-2</v>
      </c>
      <c r="AH8" s="1803">
        <f>J12^2/150</f>
        <v>9.1266666666666676E-2</v>
      </c>
      <c r="AI8" s="42"/>
      <c r="AJ8" s="42"/>
      <c r="AK8" s="42"/>
      <c r="AL8" s="912"/>
      <c r="AM8" s="912"/>
      <c r="AN8" s="18"/>
      <c r="AO8" s="1377">
        <v>3180000</v>
      </c>
      <c r="AP8" s="999">
        <v>52960</v>
      </c>
      <c r="AQ8" s="999" t="s">
        <v>318</v>
      </c>
      <c r="AR8" s="1378">
        <v>10.362000000000002</v>
      </c>
      <c r="AS8" s="999">
        <f t="shared" si="7"/>
        <v>52960</v>
      </c>
      <c r="AT8" s="1376">
        <f t="shared" si="8"/>
        <v>3180000</v>
      </c>
      <c r="AV8" s="1778">
        <f t="shared" si="0"/>
        <v>449999999.99999994</v>
      </c>
      <c r="AW8" s="1778">
        <f t="shared" si="1"/>
        <v>2999999.9999999995</v>
      </c>
      <c r="AX8" s="1779" t="str">
        <f t="shared" si="2"/>
        <v>GL200*300</v>
      </c>
      <c r="AY8" s="1780">
        <v>200</v>
      </c>
      <c r="AZ8" s="1780">
        <v>300</v>
      </c>
      <c r="BA8" s="1781">
        <f t="shared" si="3"/>
        <v>60000</v>
      </c>
      <c r="BB8" s="1780">
        <v>380</v>
      </c>
      <c r="BC8" s="1782">
        <f t="shared" si="4"/>
        <v>22.8</v>
      </c>
      <c r="BD8" s="1783">
        <f t="shared" si="5"/>
        <v>2999999.9999999995</v>
      </c>
      <c r="BE8" s="1783">
        <f t="shared" si="6"/>
        <v>449999999.99999994</v>
      </c>
    </row>
    <row r="9" spans="2:57" x14ac:dyDescent="0.2">
      <c r="B9" s="737" t="s">
        <v>664</v>
      </c>
      <c r="C9" s="1871" t="s">
        <v>673</v>
      </c>
      <c r="D9" s="1872"/>
      <c r="E9" s="1873"/>
      <c r="F9" s="1871" t="s">
        <v>672</v>
      </c>
      <c r="G9" s="1872"/>
      <c r="H9" s="1873"/>
      <c r="I9" s="1871" t="s">
        <v>517</v>
      </c>
      <c r="J9" s="1872"/>
      <c r="K9" s="1873"/>
      <c r="L9" s="29"/>
      <c r="M9" s="854" t="str">
        <f>KEUZELIJSTEN!P41</f>
        <v>stalen vakwerk</v>
      </c>
      <c r="N9" s="15"/>
      <c r="O9" s="854"/>
      <c r="P9" s="17"/>
      <c r="Q9" s="854"/>
      <c r="R9" s="17"/>
      <c r="S9" s="1407" t="s">
        <v>710</v>
      </c>
      <c r="T9" s="1025"/>
      <c r="U9" s="751">
        <f>$D$46*1000000/U5</f>
        <v>1327140.6666666667</v>
      </c>
      <c r="V9" s="28" t="s">
        <v>355</v>
      </c>
      <c r="W9" s="1025"/>
      <c r="X9" s="751">
        <f>$G$46*1000000/X5</f>
        <v>2164148.5</v>
      </c>
      <c r="Y9" s="28" t="s">
        <v>355</v>
      </c>
      <c r="Z9" s="1025"/>
      <c r="AA9" s="751">
        <f>$J$46*1000000/AA5</f>
        <v>1317200</v>
      </c>
      <c r="AB9" s="193" t="s">
        <v>355</v>
      </c>
      <c r="AC9" s="14"/>
      <c r="AD9" s="15"/>
      <c r="AE9" s="39"/>
      <c r="AF9" s="42"/>
      <c r="AG9" s="42"/>
      <c r="AH9" s="42"/>
      <c r="AI9" s="42"/>
      <c r="AJ9" s="42"/>
      <c r="AK9" s="42"/>
      <c r="AL9" s="912"/>
      <c r="AM9" s="912"/>
      <c r="AN9" s="18"/>
      <c r="AO9" s="1377">
        <v>5410000</v>
      </c>
      <c r="AP9" s="999">
        <v>77320</v>
      </c>
      <c r="AQ9" s="999" t="s">
        <v>319</v>
      </c>
      <c r="AR9" s="1378">
        <v>12.874000000000002</v>
      </c>
      <c r="AS9" s="999">
        <f t="shared" si="7"/>
        <v>77320</v>
      </c>
      <c r="AT9" s="1376">
        <f t="shared" si="8"/>
        <v>5410000</v>
      </c>
      <c r="AV9" s="1778">
        <f t="shared" si="0"/>
        <v>494999999.99999994</v>
      </c>
      <c r="AW9" s="1778">
        <f t="shared" si="1"/>
        <v>3300000</v>
      </c>
      <c r="AX9" s="1779" t="str">
        <f t="shared" si="2"/>
        <v>GL220*300</v>
      </c>
      <c r="AY9" s="1780">
        <v>220</v>
      </c>
      <c r="AZ9" s="1780">
        <v>300</v>
      </c>
      <c r="BA9" s="1781">
        <f t="shared" si="3"/>
        <v>66000</v>
      </c>
      <c r="BB9" s="1780">
        <v>380</v>
      </c>
      <c r="BC9" s="1782">
        <f t="shared" si="4"/>
        <v>25.08</v>
      </c>
      <c r="BD9" s="1783">
        <f t="shared" si="5"/>
        <v>3300000</v>
      </c>
      <c r="BE9" s="1783">
        <f t="shared" si="6"/>
        <v>494999999.99999994</v>
      </c>
    </row>
    <row r="10" spans="2:57" x14ac:dyDescent="0.2">
      <c r="B10" s="744" t="s">
        <v>686</v>
      </c>
      <c r="C10" s="1026" t="str">
        <f>'01_ALGEMEEN'!D88</f>
        <v>y</v>
      </c>
      <c r="D10" s="745">
        <f>'01_ALGEMEEN'!D89</f>
        <v>3.7</v>
      </c>
      <c r="E10" s="747" t="s">
        <v>17</v>
      </c>
      <c r="F10" s="1026" t="str">
        <f>'01_ALGEMEEN'!D133</f>
        <v>y</v>
      </c>
      <c r="G10" s="1037">
        <f>'01_ALGEMEEN'!D134</f>
        <v>3.7</v>
      </c>
      <c r="H10" s="747" t="s">
        <v>17</v>
      </c>
      <c r="I10" s="1026" t="str">
        <f>'01_ALGEMEEN'!D178</f>
        <v>y</v>
      </c>
      <c r="J10" s="745">
        <f>'01_ALGEMEEN'!D179</f>
        <v>3.7</v>
      </c>
      <c r="K10" s="746" t="s">
        <v>17</v>
      </c>
      <c r="L10" s="14"/>
      <c r="M10" s="854">
        <f>KEUZELIJSTEN!P42</f>
        <v>0</v>
      </c>
      <c r="N10" s="15"/>
      <c r="O10" s="854"/>
      <c r="P10" s="17"/>
      <c r="Q10" s="854"/>
      <c r="R10" s="14"/>
      <c r="S10" s="1023" t="s">
        <v>923</v>
      </c>
      <c r="T10" s="1027" t="str">
        <f>VLOOKUP(U8,$S$11:$AB$15,2,0)</f>
        <v>200x5-190x20-420x12</v>
      </c>
      <c r="U10" s="849" t="s">
        <v>541</v>
      </c>
      <c r="V10" s="789">
        <f t="shared" ref="V10:V15" si="9">MATCH(T10,$AQ$6:$AQ$116,0)</f>
        <v>85</v>
      </c>
      <c r="W10" s="1027" t="str">
        <f>VLOOKUP(X8,$S$11:$AB$15,5,0)</f>
        <v>260x6-190x25-450x15</v>
      </c>
      <c r="X10" s="849" t="s">
        <v>541</v>
      </c>
      <c r="Y10" s="789">
        <f t="shared" ref="Y10:Y15" si="10">MATCH(W10,$AQ$6:$AQ$116,0)</f>
        <v>88</v>
      </c>
      <c r="Z10" s="1027" t="str">
        <f>VLOOKUP(AA8,$S$11:$AB$15,8,0)</f>
        <v>HEA300</v>
      </c>
      <c r="AA10" s="849" t="s">
        <v>541</v>
      </c>
      <c r="AB10" s="856">
        <f t="shared" ref="AB10:AB15" si="11">MATCH(Z10,$AQ$6:$AQ$116,0)</f>
        <v>34</v>
      </c>
      <c r="AC10" s="14"/>
      <c r="AD10" s="15"/>
      <c r="AE10" s="39"/>
      <c r="AF10" s="42"/>
      <c r="AG10" s="42"/>
      <c r="AH10" s="42"/>
      <c r="AI10" s="42"/>
      <c r="AJ10" s="42"/>
      <c r="AK10" s="42"/>
      <c r="AL10" s="912"/>
      <c r="AM10" s="912"/>
      <c r="AN10" s="18"/>
      <c r="AO10" s="1377">
        <v>8690000</v>
      </c>
      <c r="AP10" s="999">
        <v>108700</v>
      </c>
      <c r="AQ10" s="999" t="s">
        <v>320</v>
      </c>
      <c r="AR10" s="1378">
        <v>15.778500000000003</v>
      </c>
      <c r="AS10" s="999">
        <f t="shared" si="7"/>
        <v>108700</v>
      </c>
      <c r="AT10" s="1376">
        <f t="shared" si="8"/>
        <v>8690000</v>
      </c>
      <c r="AV10" s="1778">
        <f t="shared" si="0"/>
        <v>540000000</v>
      </c>
      <c r="AW10" s="1778">
        <f t="shared" si="1"/>
        <v>3600000</v>
      </c>
      <c r="AX10" s="1779" t="str">
        <f t="shared" si="2"/>
        <v>GL240*300</v>
      </c>
      <c r="AY10" s="1780">
        <v>240</v>
      </c>
      <c r="AZ10" s="1780">
        <v>300</v>
      </c>
      <c r="BA10" s="1781">
        <f t="shared" si="3"/>
        <v>72000</v>
      </c>
      <c r="BB10" s="1780">
        <v>380</v>
      </c>
      <c r="BC10" s="1782">
        <f t="shared" si="4"/>
        <v>27.36</v>
      </c>
      <c r="BD10" s="1783">
        <f t="shared" si="5"/>
        <v>3600000</v>
      </c>
      <c r="BE10" s="1783">
        <f t="shared" si="6"/>
        <v>540000000</v>
      </c>
    </row>
    <row r="11" spans="2:57" x14ac:dyDescent="0.2">
      <c r="B11" s="29" t="s">
        <v>1190</v>
      </c>
      <c r="C11" s="1027" t="str">
        <f>'01_ALGEMEEN'!D106</f>
        <v>x</v>
      </c>
      <c r="D11" s="186">
        <f>'01_ALGEMEEN'!D107</f>
        <v>10</v>
      </c>
      <c r="E11" s="14" t="s">
        <v>17</v>
      </c>
      <c r="F11" s="1027" t="str">
        <f>'01_ALGEMEEN'!D151</f>
        <v>x</v>
      </c>
      <c r="G11" s="186">
        <f>'01_ALGEMEEN'!D152</f>
        <v>10</v>
      </c>
      <c r="H11" s="14" t="s">
        <v>17</v>
      </c>
      <c r="I11" s="1027" t="str">
        <f>'01_ALGEMEEN'!D195</f>
        <v>x</v>
      </c>
      <c r="J11" s="186">
        <f>'01_ALGEMEEN'!D196</f>
        <v>10</v>
      </c>
      <c r="K11" s="17" t="s">
        <v>17</v>
      </c>
      <c r="L11" s="14"/>
      <c r="M11" s="855" t="str">
        <f>KEUZELIJSTEN!P43</f>
        <v>Materialen kolommen</v>
      </c>
      <c r="N11" s="19"/>
      <c r="O11" s="855"/>
      <c r="P11" s="21"/>
      <c r="Q11" s="855"/>
      <c r="R11" s="14"/>
      <c r="S11" s="1400" t="s">
        <v>868</v>
      </c>
      <c r="T11" s="1401" t="str">
        <f>IF(U9&gt;$AP$6,(VLOOKUP(U9,$AP$6:$AT$24,2,TRUE)),$AQ$6)</f>
        <v>IPE400</v>
      </c>
      <c r="U11" s="1402" t="s">
        <v>541</v>
      </c>
      <c r="V11" s="1403">
        <f t="shared" si="9"/>
        <v>14</v>
      </c>
      <c r="W11" s="1401" t="str">
        <f>IF(X9&gt;$AP$6,(VLOOKUP(X9,$AP$6:$AT$24,2,TRUE)),$AQ$6)</f>
        <v>IPE500</v>
      </c>
      <c r="X11" s="1402" t="s">
        <v>541</v>
      </c>
      <c r="Y11" s="1403">
        <f t="shared" si="10"/>
        <v>16</v>
      </c>
      <c r="Z11" s="1401" t="str">
        <f>IF(AA9&gt;$AP$6,(VLOOKUP(AA9,$AP$6:$AT$24,2,TRUE)),$AQ$6)</f>
        <v>IPE400</v>
      </c>
      <c r="AA11" s="1402" t="s">
        <v>541</v>
      </c>
      <c r="AB11" s="1404">
        <f t="shared" si="11"/>
        <v>14</v>
      </c>
      <c r="AC11" s="14"/>
      <c r="AD11" s="15"/>
      <c r="AE11" s="39"/>
      <c r="AF11" s="42"/>
      <c r="AG11" s="42"/>
      <c r="AH11" s="42"/>
      <c r="AI11" s="42"/>
      <c r="AJ11" s="42"/>
      <c r="AK11" s="42"/>
      <c r="AL11" s="912"/>
      <c r="AM11" s="912"/>
      <c r="AN11" s="18"/>
      <c r="AO11" s="1377">
        <v>13170000</v>
      </c>
      <c r="AP11" s="999">
        <v>146300</v>
      </c>
      <c r="AQ11" s="999" t="s">
        <v>321</v>
      </c>
      <c r="AR11" s="1378">
        <v>18.761500000000002</v>
      </c>
      <c r="AS11" s="999">
        <f t="shared" si="7"/>
        <v>146300</v>
      </c>
      <c r="AT11" s="1376">
        <f t="shared" si="8"/>
        <v>13170000</v>
      </c>
      <c r="AV11" s="1778">
        <f t="shared" si="0"/>
        <v>853333333.33333325</v>
      </c>
      <c r="AW11" s="1778">
        <f t="shared" si="1"/>
        <v>4266666.666666666</v>
      </c>
      <c r="AX11" s="1779" t="str">
        <f t="shared" si="2"/>
        <v>GL160*400</v>
      </c>
      <c r="AY11" s="1780">
        <v>160</v>
      </c>
      <c r="AZ11" s="1780">
        <v>400</v>
      </c>
      <c r="BA11" s="1781">
        <f t="shared" si="3"/>
        <v>64000</v>
      </c>
      <c r="BB11" s="1780">
        <v>380</v>
      </c>
      <c r="BC11" s="1782">
        <f t="shared" si="4"/>
        <v>24.32</v>
      </c>
      <c r="BD11" s="1783">
        <f t="shared" si="5"/>
        <v>4266666.666666666</v>
      </c>
      <c r="BE11" s="1783">
        <f t="shared" si="6"/>
        <v>853333333.33333325</v>
      </c>
    </row>
    <row r="12" spans="2:57" x14ac:dyDescent="0.2">
      <c r="B12" s="29" t="s">
        <v>1191</v>
      </c>
      <c r="C12" s="1027" t="str">
        <f>'01_ALGEMEEN'!D119</f>
        <v>y</v>
      </c>
      <c r="D12" s="186">
        <f>'01_ALGEMEEN'!D120</f>
        <v>3.7</v>
      </c>
      <c r="E12" s="14" t="s">
        <v>17</v>
      </c>
      <c r="F12" s="1027" t="str">
        <f>'01_ALGEMEEN'!D164</f>
        <v>y</v>
      </c>
      <c r="G12" s="186">
        <f>'01_ALGEMEEN'!D165</f>
        <v>3.7</v>
      </c>
      <c r="H12" s="14" t="s">
        <v>17</v>
      </c>
      <c r="I12" s="1027" t="str">
        <f>'01_ALGEMEEN'!D208</f>
        <v>y</v>
      </c>
      <c r="J12" s="186">
        <f>'01_ALGEMEEN'!D209</f>
        <v>3.7</v>
      </c>
      <c r="K12" s="17" t="s">
        <v>17</v>
      </c>
      <c r="L12" s="14"/>
      <c r="R12" s="14"/>
      <c r="S12" s="1400" t="s">
        <v>869</v>
      </c>
      <c r="T12" s="1401" t="str">
        <f>IF(U9&gt;$AP$29,(VLOOKUP(U9,$AP$29:$AT$53,2,TRUE)),$AQ$29)</f>
        <v>HEA300</v>
      </c>
      <c r="U12" s="1402" t="s">
        <v>541</v>
      </c>
      <c r="V12" s="1403">
        <f t="shared" si="9"/>
        <v>34</v>
      </c>
      <c r="W12" s="1401" t="str">
        <f>IF(X9&gt;$AP$29,(VLOOKUP(X9,$AP$29:$AT$53,2,TRUE)),$AQ$29)</f>
        <v>HEA360</v>
      </c>
      <c r="X12" s="1402" t="s">
        <v>541</v>
      </c>
      <c r="Y12" s="1403">
        <f t="shared" si="10"/>
        <v>37</v>
      </c>
      <c r="Z12" s="1401" t="str">
        <f>IF(AA9&gt;$AP$29,(VLOOKUP(AA9,$AP$29:$AT$53,2,TRUE)),$AQ$29)</f>
        <v>HEA300</v>
      </c>
      <c r="AA12" s="1402" t="s">
        <v>541</v>
      </c>
      <c r="AB12" s="1404">
        <f t="shared" si="11"/>
        <v>34</v>
      </c>
      <c r="AC12" s="14"/>
      <c r="AD12" s="15"/>
      <c r="AE12" s="39"/>
      <c r="AF12" s="42"/>
      <c r="AG12" s="42"/>
      <c r="AH12" s="42"/>
      <c r="AI12" s="42"/>
      <c r="AJ12" s="42"/>
      <c r="AK12" s="42"/>
      <c r="AL12" s="912"/>
      <c r="AM12" s="912"/>
      <c r="AN12" s="18"/>
      <c r="AO12" s="1377">
        <v>19430000</v>
      </c>
      <c r="AP12" s="999">
        <v>194300</v>
      </c>
      <c r="AQ12" s="999" t="s">
        <v>322</v>
      </c>
      <c r="AR12" s="1378">
        <v>22.372499999999999</v>
      </c>
      <c r="AS12" s="999">
        <f t="shared" si="7"/>
        <v>194300</v>
      </c>
      <c r="AT12" s="1376">
        <f t="shared" si="8"/>
        <v>19430000</v>
      </c>
      <c r="AV12" s="1778">
        <f t="shared" si="0"/>
        <v>960000000</v>
      </c>
      <c r="AW12" s="1778">
        <f t="shared" si="1"/>
        <v>4800000</v>
      </c>
      <c r="AX12" s="1779" t="str">
        <f t="shared" si="2"/>
        <v>GL180*400</v>
      </c>
      <c r="AY12" s="1780">
        <v>180</v>
      </c>
      <c r="AZ12" s="1780">
        <v>400</v>
      </c>
      <c r="BA12" s="1781">
        <f t="shared" si="3"/>
        <v>72000</v>
      </c>
      <c r="BB12" s="1780">
        <v>380</v>
      </c>
      <c r="BC12" s="1782">
        <f t="shared" si="4"/>
        <v>27.36</v>
      </c>
      <c r="BD12" s="1783">
        <f t="shared" si="5"/>
        <v>4800000</v>
      </c>
      <c r="BE12" s="1783">
        <f t="shared" si="6"/>
        <v>960000000</v>
      </c>
    </row>
    <row r="13" spans="2:57" x14ac:dyDescent="0.2">
      <c r="B13" s="189" t="s">
        <v>1192</v>
      </c>
      <c r="D13" s="186">
        <f>'01_ALGEMEEN'!D122</f>
        <v>1</v>
      </c>
      <c r="E13" s="33"/>
      <c r="G13" s="186">
        <f>'01_ALGEMEEN'!D167</f>
        <v>1</v>
      </c>
      <c r="H13" s="14"/>
      <c r="J13" s="186">
        <f>'01_ALGEMEEN'!D211</f>
        <v>1</v>
      </c>
      <c r="K13" s="17"/>
      <c r="L13" s="14"/>
      <c r="R13" s="14"/>
      <c r="S13" s="1400" t="s">
        <v>870</v>
      </c>
      <c r="T13" s="1401" t="str">
        <f>IF(U9&gt;$AP$58,(VLOOKUP(U9,$AP$58:$AT$82,2,TRUE)),$AQ$58)</f>
        <v>HEB260</v>
      </c>
      <c r="U13" s="1402" t="s">
        <v>541</v>
      </c>
      <c r="V13" s="1403">
        <f t="shared" si="9"/>
        <v>61</v>
      </c>
      <c r="W13" s="1401" t="str">
        <f>IF(X9&gt;$AP$58,(VLOOKUP(X9,$AP$58:$AT$82,2,TRUE)),$AQ$58)</f>
        <v>HEB340</v>
      </c>
      <c r="X13" s="1402" t="s">
        <v>541</v>
      </c>
      <c r="Y13" s="1403">
        <f t="shared" si="10"/>
        <v>65</v>
      </c>
      <c r="Z13" s="1401" t="str">
        <f>IF(AA9&gt;$AP$58,(VLOOKUP(AA9,$AP$58:$AT$82,2,TRUE)),$AQ$58)</f>
        <v>HEB260</v>
      </c>
      <c r="AA13" s="1402" t="s">
        <v>541</v>
      </c>
      <c r="AB13" s="1404">
        <f t="shared" si="11"/>
        <v>61</v>
      </c>
      <c r="AC13" s="14"/>
      <c r="AD13" s="15"/>
      <c r="AE13" s="39"/>
      <c r="AF13" s="42"/>
      <c r="AG13" s="42"/>
      <c r="AH13" s="42"/>
      <c r="AI13" s="42"/>
      <c r="AJ13" s="42"/>
      <c r="AK13" s="42"/>
      <c r="AL13" s="912"/>
      <c r="AM13" s="912"/>
      <c r="AN13" s="18"/>
      <c r="AO13" s="1377">
        <v>27720000</v>
      </c>
      <c r="AP13" s="999">
        <v>252000</v>
      </c>
      <c r="AQ13" s="999" t="s">
        <v>323</v>
      </c>
      <c r="AR13" s="1378">
        <v>26.219000000000005</v>
      </c>
      <c r="AS13" s="999">
        <f t="shared" si="7"/>
        <v>252000</v>
      </c>
      <c r="AT13" s="1376">
        <f t="shared" si="8"/>
        <v>27720000</v>
      </c>
      <c r="AV13" s="1778">
        <f t="shared" si="0"/>
        <v>1066666666.6666665</v>
      </c>
      <c r="AW13" s="1778">
        <f t="shared" si="1"/>
        <v>5333333.333333333</v>
      </c>
      <c r="AX13" s="1779" t="str">
        <f t="shared" si="2"/>
        <v>GL200*400</v>
      </c>
      <c r="AY13" s="1780">
        <v>200</v>
      </c>
      <c r="AZ13" s="1780">
        <v>400</v>
      </c>
      <c r="BA13" s="1781">
        <f t="shared" si="3"/>
        <v>80000</v>
      </c>
      <c r="BB13" s="1780">
        <v>380</v>
      </c>
      <c r="BC13" s="1782">
        <f t="shared" si="4"/>
        <v>30.4</v>
      </c>
      <c r="BD13" s="1783">
        <f t="shared" si="5"/>
        <v>5333333.333333333</v>
      </c>
      <c r="BE13" s="1783">
        <f t="shared" si="6"/>
        <v>1066666666.6666665</v>
      </c>
    </row>
    <row r="14" spans="2:57" x14ac:dyDescent="0.2">
      <c r="B14" s="189"/>
      <c r="D14" s="157"/>
      <c r="E14" s="33"/>
      <c r="G14" s="157"/>
      <c r="H14" s="14"/>
      <c r="J14" s="157"/>
      <c r="K14" s="17"/>
      <c r="L14" s="14"/>
      <c r="R14" s="14"/>
      <c r="S14" s="1400" t="s">
        <v>909</v>
      </c>
      <c r="T14" s="1401" t="str">
        <f>IF(U9&gt;$AP$87,(VLOOKUP(U9,$AP$87:$AT$99,2,TRUE)),$AQ$87)</f>
        <v>200x5-190x20-420x12</v>
      </c>
      <c r="U14" s="1402" t="s">
        <v>541</v>
      </c>
      <c r="V14" s="1403">
        <f t="shared" si="9"/>
        <v>85</v>
      </c>
      <c r="W14" s="1401" t="str">
        <f>IF(X9&gt;$AP$87,(VLOOKUP(X9,$AP$87:$AT$99,2,TRUE)),$AQ$87)</f>
        <v>260x6-190x25-450x15</v>
      </c>
      <c r="X14" s="1402" t="s">
        <v>541</v>
      </c>
      <c r="Y14" s="1403">
        <f t="shared" si="10"/>
        <v>88</v>
      </c>
      <c r="Z14" s="1401" t="str">
        <f>IF(AA9&gt;$AP$87,(VLOOKUP(AA9,$AP$87:$AT$99,2,TRUE)),$AQ$87)</f>
        <v>200x5-190x20-420x12</v>
      </c>
      <c r="AA14" s="1402" t="s">
        <v>541</v>
      </c>
      <c r="AB14" s="1404">
        <f t="shared" si="11"/>
        <v>85</v>
      </c>
      <c r="AC14" s="14"/>
      <c r="AD14" s="914"/>
      <c r="AE14" s="916"/>
      <c r="AF14" s="915"/>
      <c r="AG14" s="915"/>
      <c r="AH14" s="915"/>
      <c r="AI14" s="915"/>
      <c r="AJ14" s="915"/>
      <c r="AK14" s="915"/>
      <c r="AL14" s="913"/>
      <c r="AM14" s="913"/>
      <c r="AN14" s="14"/>
      <c r="AO14" s="1377">
        <v>38920000</v>
      </c>
      <c r="AP14" s="999">
        <v>324300</v>
      </c>
      <c r="AQ14" s="999" t="s">
        <v>324</v>
      </c>
      <c r="AR14" s="1378">
        <v>30.693500000000004</v>
      </c>
      <c r="AS14" s="999">
        <f t="shared" si="7"/>
        <v>324300</v>
      </c>
      <c r="AT14" s="1376">
        <f t="shared" si="8"/>
        <v>38920000</v>
      </c>
      <c r="AV14" s="1778">
        <f t="shared" si="0"/>
        <v>1173333333.3333333</v>
      </c>
      <c r="AW14" s="1778">
        <f t="shared" si="1"/>
        <v>5866666.666666666</v>
      </c>
      <c r="AX14" s="1779" t="str">
        <f t="shared" si="2"/>
        <v>GL220*400</v>
      </c>
      <c r="AY14" s="1780">
        <v>220</v>
      </c>
      <c r="AZ14" s="1780">
        <v>400</v>
      </c>
      <c r="BA14" s="1781">
        <f t="shared" si="3"/>
        <v>88000</v>
      </c>
      <c r="BB14" s="1780">
        <v>380</v>
      </c>
      <c r="BC14" s="1782">
        <f t="shared" si="4"/>
        <v>33.44</v>
      </c>
      <c r="BD14" s="1783">
        <f t="shared" si="5"/>
        <v>5866666.666666666</v>
      </c>
      <c r="BE14" s="1783">
        <f t="shared" si="6"/>
        <v>1173333333.3333333</v>
      </c>
    </row>
    <row r="15" spans="2:57" x14ac:dyDescent="0.2">
      <c r="B15" s="748" t="s">
        <v>585</v>
      </c>
      <c r="C15" s="1025"/>
      <c r="D15" s="186" t="str">
        <f>'01_ALGEMEEN'!O114</f>
        <v>niet</v>
      </c>
      <c r="E15" s="27" t="s">
        <v>581</v>
      </c>
      <c r="F15" s="1025"/>
      <c r="G15" s="186" t="str">
        <f>'01_ALGEMEEN'!O159</f>
        <v>niet</v>
      </c>
      <c r="H15" s="18" t="s">
        <v>581</v>
      </c>
      <c r="I15" s="1025"/>
      <c r="J15" s="186" t="str">
        <f>'01_ALGEMEEN'!O204</f>
        <v>niet</v>
      </c>
      <c r="K15" s="911" t="s">
        <v>581</v>
      </c>
      <c r="L15" s="14"/>
      <c r="R15" s="14"/>
      <c r="S15" s="1400" t="s">
        <v>910</v>
      </c>
      <c r="T15" s="1401" t="str">
        <f>IF(U9&gt;$AP$104,(VLOOKUP(U9,$AP$104:$AT$116,2,TRUE)),$AQ$104)</f>
        <v>HEB240-480x15</v>
      </c>
      <c r="U15" s="1402" t="s">
        <v>541</v>
      </c>
      <c r="V15" s="1403">
        <f t="shared" si="9"/>
        <v>105</v>
      </c>
      <c r="W15" s="1401" t="str">
        <f>IF(X9&gt;$AP$104,(VLOOKUP(X9,$AP$104:$AT$116,2,TRUE)),$AQ$104)</f>
        <v>HEB280-520x25</v>
      </c>
      <c r="X15" s="1402" t="s">
        <v>541</v>
      </c>
      <c r="Y15" s="1403">
        <f t="shared" si="10"/>
        <v>107</v>
      </c>
      <c r="Z15" s="1401" t="str">
        <f>IF(AA9&gt;$AP$104,(VLOOKUP(AA9,$AP$104:$AT$116,2,TRUE)),$AQ$104)</f>
        <v>HEB240-480x15</v>
      </c>
      <c r="AA15" s="1402" t="s">
        <v>541</v>
      </c>
      <c r="AB15" s="1404">
        <f t="shared" si="11"/>
        <v>105</v>
      </c>
      <c r="AC15" s="14"/>
      <c r="AD15" s="914"/>
      <c r="AE15" s="1086"/>
      <c r="AF15" s="915"/>
      <c r="AG15" s="915"/>
      <c r="AH15" s="915"/>
      <c r="AI15" s="915"/>
      <c r="AJ15" s="915"/>
      <c r="AK15" s="915"/>
      <c r="AL15" s="913"/>
      <c r="AM15" s="913"/>
      <c r="AN15" s="18"/>
      <c r="AO15" s="1377">
        <v>57900000</v>
      </c>
      <c r="AP15" s="999">
        <v>428900</v>
      </c>
      <c r="AQ15" s="999" t="s">
        <v>325</v>
      </c>
      <c r="AR15" s="1378">
        <v>36.031500000000008</v>
      </c>
      <c r="AS15" s="999">
        <f t="shared" si="7"/>
        <v>428900</v>
      </c>
      <c r="AT15" s="1376">
        <f t="shared" si="8"/>
        <v>57900000</v>
      </c>
      <c r="AV15" s="1778">
        <f t="shared" si="0"/>
        <v>1280000000</v>
      </c>
      <c r="AW15" s="1778">
        <f t="shared" si="1"/>
        <v>6400000</v>
      </c>
      <c r="AX15" s="1779" t="str">
        <f t="shared" si="2"/>
        <v>GL240*400</v>
      </c>
      <c r="AY15" s="1780">
        <v>240</v>
      </c>
      <c r="AZ15" s="1780">
        <v>400</v>
      </c>
      <c r="BA15" s="1781">
        <f t="shared" si="3"/>
        <v>96000</v>
      </c>
      <c r="BB15" s="1780">
        <v>380</v>
      </c>
      <c r="BC15" s="1782">
        <f t="shared" si="4"/>
        <v>36.479999999999997</v>
      </c>
      <c r="BD15" s="1783">
        <f t="shared" si="5"/>
        <v>6400000</v>
      </c>
      <c r="BE15" s="1783">
        <f t="shared" si="6"/>
        <v>1280000000</v>
      </c>
    </row>
    <row r="16" spans="2:57" x14ac:dyDescent="0.2">
      <c r="B16" s="748" t="s">
        <v>584</v>
      </c>
      <c r="C16" s="1025"/>
      <c r="D16" s="186" t="str">
        <f>IF(D15="ja","ja",'01_ALGEMEEN'!D121)</f>
        <v>nee</v>
      </c>
      <c r="E16" s="27"/>
      <c r="F16" s="1025"/>
      <c r="G16" s="186" t="str">
        <f>IF(G15="ja","ja",'01_ALGEMEEN'!D166)</f>
        <v>nee</v>
      </c>
      <c r="H16" s="18"/>
      <c r="I16" s="1025"/>
      <c r="J16" s="186" t="str">
        <f>IF(J15="ja","ja",'01_ALGEMEEN'!D210)</f>
        <v>nee</v>
      </c>
      <c r="K16" s="911"/>
      <c r="L16" s="14"/>
      <c r="S16" s="748" t="s">
        <v>711</v>
      </c>
      <c r="T16" s="1025"/>
      <c r="U16" s="751">
        <f>(5*MAX($D$30:$D$32)*(1000*$D$11)^4/(384*U6*0.004*$D$11*1000))</f>
        <v>368424685.8465609</v>
      </c>
      <c r="V16" s="28" t="s">
        <v>356</v>
      </c>
      <c r="W16" s="1025"/>
      <c r="X16" s="751">
        <f>(5*MAX($G$30:$G$32)*(1000*$G$11)^4/(384*X6*0.004*$G$11*1000))</f>
        <v>397101521.16402125</v>
      </c>
      <c r="Y16" s="28" t="s">
        <v>356</v>
      </c>
      <c r="Z16" s="1025"/>
      <c r="AA16" s="751">
        <f>(5*MAX($J$30:$J$32)*(1000*$J$11)^4/(384*AA6*0.004*$J$11*1000))</f>
        <v>394019717.26190466</v>
      </c>
      <c r="AB16" s="193" t="s">
        <v>356</v>
      </c>
      <c r="AD16" s="914"/>
      <c r="AE16" s="916"/>
      <c r="AF16" s="915"/>
      <c r="AG16" s="915"/>
      <c r="AH16" s="915"/>
      <c r="AI16" s="915"/>
      <c r="AJ16" s="915"/>
      <c r="AK16" s="915"/>
      <c r="AL16" s="913"/>
      <c r="AM16" s="913"/>
      <c r="AN16" s="26"/>
      <c r="AO16" s="1377">
        <v>83560000</v>
      </c>
      <c r="AP16" s="999">
        <v>557100</v>
      </c>
      <c r="AQ16" s="999" t="s">
        <v>326</v>
      </c>
      <c r="AR16" s="1378">
        <v>42.233000000000004</v>
      </c>
      <c r="AS16" s="999">
        <f t="shared" si="7"/>
        <v>557100</v>
      </c>
      <c r="AT16" s="1376">
        <f t="shared" si="8"/>
        <v>83560000</v>
      </c>
      <c r="AV16" s="1778">
        <f t="shared" si="0"/>
        <v>1666666666.6666665</v>
      </c>
      <c r="AW16" s="1778">
        <f t="shared" si="1"/>
        <v>6666666.666666666</v>
      </c>
      <c r="AX16" s="1779" t="str">
        <f t="shared" si="2"/>
        <v>GL160*500</v>
      </c>
      <c r="AY16" s="1780">
        <v>160</v>
      </c>
      <c r="AZ16" s="1780">
        <v>500</v>
      </c>
      <c r="BA16" s="1781">
        <f t="shared" si="3"/>
        <v>80000</v>
      </c>
      <c r="BB16" s="1780">
        <v>380</v>
      </c>
      <c r="BC16" s="1782">
        <f t="shared" si="4"/>
        <v>30.4</v>
      </c>
      <c r="BD16" s="1783">
        <f t="shared" si="5"/>
        <v>6666666.666666666</v>
      </c>
      <c r="BE16" s="1783">
        <f t="shared" si="6"/>
        <v>1666666666.6666665</v>
      </c>
    </row>
    <row r="17" spans="1:57" x14ac:dyDescent="0.2">
      <c r="B17" s="189" t="s">
        <v>685</v>
      </c>
      <c r="D17" s="190">
        <f>IF(AND(D15="niet",D16="nee"),1,IF(AND(D15="niet",D16="ja"),2,IF(AND(D15="ja",D16="ja"),3)))</f>
        <v>1</v>
      </c>
      <c r="E17" s="33"/>
      <c r="G17" s="190">
        <f>IF(AND(G15="niet",G16="nee"),1,IF(AND(G15="niet",G16="ja"),2,IF(AND(G15="ja",G16="ja"),3)))</f>
        <v>1</v>
      </c>
      <c r="H17" s="14"/>
      <c r="J17" s="190">
        <f>IF(AND(J15="niet",J16="nee"),1,IF(AND(J15="niet",J16="ja"),2,IF(AND(J15="ja",J16="ja"),3)))</f>
        <v>1</v>
      </c>
      <c r="K17" s="17"/>
      <c r="L17" s="14"/>
      <c r="S17" s="1023" t="s">
        <v>923</v>
      </c>
      <c r="T17" s="1027" t="str">
        <f>VLOOKUP(U8,$S$18:$AB$22,2,0)</f>
        <v>320x8-190x25-470x15</v>
      </c>
      <c r="U17" s="849" t="s">
        <v>541</v>
      </c>
      <c r="V17" s="789">
        <f t="shared" ref="V17:V22" si="12">MATCH(T17,$AQ$6:$AQ$116,0)</f>
        <v>91</v>
      </c>
      <c r="W17" s="1027" t="str">
        <f>VLOOKUP(X8,$S$18:$AB$22,5,0)</f>
        <v>320x8-240x30-520x15</v>
      </c>
      <c r="X17" s="849" t="s">
        <v>541</v>
      </c>
      <c r="Y17" s="789">
        <f t="shared" ref="Y17:Y22" si="13">MATCH(W17,$AQ$6:$AQ$116,0)</f>
        <v>92</v>
      </c>
      <c r="Z17" s="1027" t="str">
        <f>VLOOKUP(AA8,$S$18:$AB$22,8,0)</f>
        <v>HEA360</v>
      </c>
      <c r="AA17" s="849" t="s">
        <v>541</v>
      </c>
      <c r="AB17" s="856">
        <f t="shared" ref="AB17:AB22" si="14">MATCH(Z17,$AQ$6:$AQ$116,0)</f>
        <v>37</v>
      </c>
      <c r="AD17" s="15"/>
      <c r="AE17" s="14"/>
      <c r="AF17" s="14"/>
      <c r="AG17" s="14"/>
      <c r="AH17" s="14"/>
      <c r="AI17" s="14"/>
      <c r="AJ17" s="14"/>
      <c r="AK17" s="14"/>
      <c r="AL17" s="14"/>
      <c r="AM17" s="17"/>
      <c r="AN17" s="18"/>
      <c r="AO17" s="1377">
        <v>117700000</v>
      </c>
      <c r="AP17" s="999">
        <v>713100</v>
      </c>
      <c r="AQ17" s="999" t="s">
        <v>327</v>
      </c>
      <c r="AR17" s="1378">
        <v>49.141000000000005</v>
      </c>
      <c r="AS17" s="999">
        <f t="shared" si="7"/>
        <v>713100</v>
      </c>
      <c r="AT17" s="1376">
        <f t="shared" si="8"/>
        <v>117700000</v>
      </c>
      <c r="AV17" s="1778">
        <f t="shared" si="0"/>
        <v>1875000000</v>
      </c>
      <c r="AW17" s="1778">
        <f t="shared" si="1"/>
        <v>7500000</v>
      </c>
      <c r="AX17" s="1779" t="str">
        <f t="shared" si="2"/>
        <v>GL180*500</v>
      </c>
      <c r="AY17" s="1780">
        <v>180</v>
      </c>
      <c r="AZ17" s="1780">
        <v>500</v>
      </c>
      <c r="BA17" s="1781">
        <f t="shared" si="3"/>
        <v>90000</v>
      </c>
      <c r="BB17" s="1780">
        <v>380</v>
      </c>
      <c r="BC17" s="1782">
        <f t="shared" si="4"/>
        <v>34.199999999999996</v>
      </c>
      <c r="BD17" s="1783">
        <f t="shared" si="5"/>
        <v>7500000</v>
      </c>
      <c r="BE17" s="1783">
        <f t="shared" si="6"/>
        <v>1875000000</v>
      </c>
    </row>
    <row r="18" spans="1:57" x14ac:dyDescent="0.2">
      <c r="B18" s="189"/>
      <c r="D18" s="157"/>
      <c r="E18" s="33"/>
      <c r="G18" s="157"/>
      <c r="H18" s="14"/>
      <c r="J18" s="157"/>
      <c r="K18" s="17"/>
      <c r="L18" s="14"/>
      <c r="S18" s="1400" t="s">
        <v>868</v>
      </c>
      <c r="T18" s="1401" t="str">
        <f>IF(U16&gt;$AO$6,VLOOKUP(U16,$AO$6:$AQ$24,3,TRUE),$AQ$6)</f>
        <v>IPE450</v>
      </c>
      <c r="U18" s="1402" t="s">
        <v>541</v>
      </c>
      <c r="V18" s="1403">
        <f t="shared" si="12"/>
        <v>15</v>
      </c>
      <c r="W18" s="1401" t="str">
        <f>IF(X16&gt;$AO$6,VLOOKUP(X16,$AO$6:$AQ$24,3,TRUE),$AQ$6)</f>
        <v>IPE450</v>
      </c>
      <c r="X18" s="1402" t="s">
        <v>541</v>
      </c>
      <c r="Y18" s="1403">
        <f t="shared" si="13"/>
        <v>15</v>
      </c>
      <c r="Z18" s="1401" t="str">
        <f>IF(AA16&gt;$AO$6,VLOOKUP(AA16,$AO$6:$AQ$24,3,TRUE),$AQ$6)</f>
        <v>IPE450</v>
      </c>
      <c r="AA18" s="1402" t="s">
        <v>541</v>
      </c>
      <c r="AB18" s="1404">
        <f t="shared" si="14"/>
        <v>15</v>
      </c>
      <c r="AD18" s="15"/>
      <c r="AM18" s="17"/>
      <c r="AN18" s="14"/>
      <c r="AO18" s="1377">
        <v>162700000</v>
      </c>
      <c r="AP18" s="999">
        <v>903600</v>
      </c>
      <c r="AQ18" s="999" t="s">
        <v>328</v>
      </c>
      <c r="AR18" s="1378">
        <v>57.069500000000005</v>
      </c>
      <c r="AS18" s="999">
        <f t="shared" si="7"/>
        <v>903600</v>
      </c>
      <c r="AT18" s="1376">
        <f t="shared" si="8"/>
        <v>162700000</v>
      </c>
      <c r="AV18" s="1778">
        <f t="shared" si="0"/>
        <v>2083333333.333333</v>
      </c>
      <c r="AW18" s="1778">
        <f t="shared" si="1"/>
        <v>8333333.3333333321</v>
      </c>
      <c r="AX18" s="1779" t="str">
        <f t="shared" si="2"/>
        <v>GL200*500</v>
      </c>
      <c r="AY18" s="1780">
        <v>200</v>
      </c>
      <c r="AZ18" s="1780">
        <v>500</v>
      </c>
      <c r="BA18" s="1781">
        <f t="shared" si="3"/>
        <v>100000</v>
      </c>
      <c r="BB18" s="1780">
        <v>380</v>
      </c>
      <c r="BC18" s="1782">
        <f t="shared" si="4"/>
        <v>38</v>
      </c>
      <c r="BD18" s="1783">
        <f t="shared" si="5"/>
        <v>8333333.3333333321</v>
      </c>
      <c r="BE18" s="1783">
        <f t="shared" si="6"/>
        <v>2083333333.333333</v>
      </c>
    </row>
    <row r="19" spans="1:57" x14ac:dyDescent="0.2">
      <c r="B19" s="748" t="s">
        <v>699</v>
      </c>
      <c r="C19" s="1025"/>
      <c r="D19" s="750">
        <f>D11/D13</f>
        <v>10</v>
      </c>
      <c r="E19" s="18" t="s">
        <v>17</v>
      </c>
      <c r="F19" s="1025"/>
      <c r="G19" s="750">
        <f>G11/G13</f>
        <v>10</v>
      </c>
      <c r="H19" s="18" t="s">
        <v>17</v>
      </c>
      <c r="I19" s="1025"/>
      <c r="J19" s="750">
        <f>J11/J13</f>
        <v>10</v>
      </c>
      <c r="K19" s="25" t="s">
        <v>17</v>
      </c>
      <c r="L19" s="14"/>
      <c r="S19" s="1400" t="s">
        <v>869</v>
      </c>
      <c r="T19" s="1401" t="str">
        <f>IF(U16&gt;$AO$29,VLOOKUP(U16,$AO$29:$AQ$53,3,TRUE),$AQ$29)</f>
        <v>HEA360</v>
      </c>
      <c r="U19" s="1402" t="s">
        <v>541</v>
      </c>
      <c r="V19" s="1403">
        <f t="shared" si="12"/>
        <v>37</v>
      </c>
      <c r="W19" s="1401" t="str">
        <f>IF(X16&gt;$AO$29,VLOOKUP(X16,$AO$29:$AQ$53,3,TRUE),$AQ$29)</f>
        <v>HEA360</v>
      </c>
      <c r="X19" s="1402" t="s">
        <v>541</v>
      </c>
      <c r="Y19" s="1403">
        <f t="shared" si="13"/>
        <v>37</v>
      </c>
      <c r="Z19" s="1401" t="str">
        <f>IF(AA16&gt;$AO$29,VLOOKUP(AA16,$AO$29:$AQ$53,3,TRUE),$AQ$29)</f>
        <v>HEA360</v>
      </c>
      <c r="AA19" s="1402" t="s">
        <v>541</v>
      </c>
      <c r="AB19" s="1404">
        <f t="shared" si="14"/>
        <v>37</v>
      </c>
      <c r="AD19" s="15"/>
      <c r="AM19" s="17"/>
      <c r="AN19" s="18"/>
      <c r="AO19" s="1377">
        <v>231300000</v>
      </c>
      <c r="AP19" s="999">
        <v>1156000</v>
      </c>
      <c r="AQ19" s="999" t="s">
        <v>329</v>
      </c>
      <c r="AR19" s="1378">
        <v>66.332499999999996</v>
      </c>
      <c r="AS19" s="999">
        <f t="shared" si="7"/>
        <v>1156000</v>
      </c>
      <c r="AT19" s="1376">
        <f t="shared" si="8"/>
        <v>231300000</v>
      </c>
      <c r="AV19" s="1778">
        <f t="shared" si="0"/>
        <v>2291666666.6666665</v>
      </c>
      <c r="AW19" s="1778">
        <f t="shared" si="1"/>
        <v>9166666.666666666</v>
      </c>
      <c r="AX19" s="1779" t="str">
        <f t="shared" si="2"/>
        <v>GL220*500</v>
      </c>
      <c r="AY19" s="1780">
        <v>220</v>
      </c>
      <c r="AZ19" s="1780">
        <v>500</v>
      </c>
      <c r="BA19" s="1781">
        <f t="shared" si="3"/>
        <v>110000</v>
      </c>
      <c r="BB19" s="1780">
        <v>380</v>
      </c>
      <c r="BC19" s="1782">
        <f t="shared" si="4"/>
        <v>41.8</v>
      </c>
      <c r="BD19" s="1783">
        <f t="shared" si="5"/>
        <v>9166666.666666666</v>
      </c>
      <c r="BE19" s="1783">
        <f t="shared" si="6"/>
        <v>2291666666.6666665</v>
      </c>
    </row>
    <row r="20" spans="1:57" x14ac:dyDescent="0.2">
      <c r="B20" s="199" t="s">
        <v>539</v>
      </c>
      <c r="C20" s="1028"/>
      <c r="D20" s="752">
        <f>'01_ALGEMEEN'!E32</f>
        <v>10</v>
      </c>
      <c r="E20" s="845"/>
      <c r="F20" s="200"/>
      <c r="G20" s="752">
        <f>'01_ALGEMEEN'!E39</f>
        <v>3</v>
      </c>
      <c r="H20" s="1002"/>
      <c r="I20" s="1028"/>
      <c r="J20" s="1003">
        <v>1</v>
      </c>
      <c r="K20" s="1067"/>
      <c r="L20" s="14"/>
      <c r="S20" s="1400" t="s">
        <v>870</v>
      </c>
      <c r="T20" s="1401" t="str">
        <f>IF(U16&gt;$AO$58,VLOOKUP(U16,$AO$58:$AQ$82,3,TRUE),$AQ$58)</f>
        <v>HEB340</v>
      </c>
      <c r="U20" s="1402" t="s">
        <v>541</v>
      </c>
      <c r="V20" s="1403">
        <f t="shared" si="12"/>
        <v>65</v>
      </c>
      <c r="W20" s="1401" t="str">
        <f>IF(X16&gt;$AO$58,VLOOKUP(X16,$AO$58:$AQ$82,3,TRUE),$AQ$58)</f>
        <v>HEB340</v>
      </c>
      <c r="X20" s="1402" t="s">
        <v>541</v>
      </c>
      <c r="Y20" s="1403">
        <f t="shared" si="13"/>
        <v>65</v>
      </c>
      <c r="Z20" s="1401" t="str">
        <f>IF(AA16&gt;$AO$58,VLOOKUP(AA16,$AO$58:$AQ$82,3,TRUE),$AQ$58)</f>
        <v>HEB340</v>
      </c>
      <c r="AA20" s="1402" t="s">
        <v>541</v>
      </c>
      <c r="AB20" s="1404">
        <f t="shared" si="14"/>
        <v>65</v>
      </c>
      <c r="AD20" s="15"/>
      <c r="AM20" s="17"/>
      <c r="AN20" s="18"/>
      <c r="AO20" s="1377">
        <v>337400000</v>
      </c>
      <c r="AP20" s="999">
        <v>1500000</v>
      </c>
      <c r="AQ20" s="999" t="s">
        <v>330</v>
      </c>
      <c r="AR20" s="1378">
        <v>77.558000000000007</v>
      </c>
      <c r="AS20" s="999">
        <f t="shared" si="7"/>
        <v>1500000</v>
      </c>
      <c r="AT20" s="1376">
        <f t="shared" si="8"/>
        <v>337400000</v>
      </c>
      <c r="AV20" s="1778">
        <f t="shared" si="0"/>
        <v>2500000000</v>
      </c>
      <c r="AW20" s="1778">
        <f t="shared" si="1"/>
        <v>10000000</v>
      </c>
      <c r="AX20" s="1779" t="str">
        <f t="shared" si="2"/>
        <v>GL240*500</v>
      </c>
      <c r="AY20" s="1780">
        <v>240</v>
      </c>
      <c r="AZ20" s="1780">
        <v>500</v>
      </c>
      <c r="BA20" s="1781">
        <f t="shared" si="3"/>
        <v>120000</v>
      </c>
      <c r="BB20" s="1780">
        <v>380</v>
      </c>
      <c r="BC20" s="1782">
        <f t="shared" si="4"/>
        <v>45.6</v>
      </c>
      <c r="BD20" s="1783">
        <f t="shared" si="5"/>
        <v>10000000</v>
      </c>
      <c r="BE20" s="1783">
        <f t="shared" si="6"/>
        <v>2500000000</v>
      </c>
    </row>
    <row r="21" spans="1:57" x14ac:dyDescent="0.2">
      <c r="B21" s="189" t="s">
        <v>718</v>
      </c>
      <c r="D21" s="196">
        <f>D11*VLOOKUP(C12,$F$3:$G$4,2,0)*(VLOOKUP(C11,$F$3:$G$4,2,0)-1)</f>
        <v>360</v>
      </c>
      <c r="E21" s="17" t="s">
        <v>415</v>
      </c>
      <c r="F21" s="157"/>
      <c r="G21" s="196">
        <f>G11*VLOOKUP(F12,$F$3:$G$4,2,0)*(VLOOKUP(F11,$F$3:$G$4,2,0)-1)</f>
        <v>360</v>
      </c>
      <c r="H21" s="14" t="s">
        <v>415</v>
      </c>
      <c r="J21" s="196">
        <f>J11*VLOOKUP(I12,$F$3:$G$4,2,0)*(VLOOKUP(I11,$F$3:$G$4,2,0)-1)</f>
        <v>360</v>
      </c>
      <c r="K21" s="17" t="s">
        <v>415</v>
      </c>
      <c r="L21" s="14"/>
      <c r="S21" s="1400" t="s">
        <v>909</v>
      </c>
      <c r="T21" s="1401" t="str">
        <f>IF(U16&gt;$AO$87,VLOOKUP(U16,$AO$87:$AQ$99,3,TRUE),$AQ$87)</f>
        <v>320x8-190x25-470x15</v>
      </c>
      <c r="U21" s="1402" t="s">
        <v>541</v>
      </c>
      <c r="V21" s="1403">
        <f t="shared" si="12"/>
        <v>91</v>
      </c>
      <c r="W21" s="1401" t="str">
        <f>IF(X16&gt;$AO$87,VLOOKUP(X16,$AO$87:$AQ$99,3,TRUE),$AQ$87)</f>
        <v>320x8-240x30-520x15</v>
      </c>
      <c r="X21" s="1402" t="s">
        <v>541</v>
      </c>
      <c r="Y21" s="1403">
        <f t="shared" si="13"/>
        <v>92</v>
      </c>
      <c r="Z21" s="1401" t="str">
        <f>IF(AA16&gt;$AO$87,VLOOKUP(AA16,$AO$87:$AQ$99,3,TRUE),$AQ$87)</f>
        <v>320x8-240x30-520x15</v>
      </c>
      <c r="AA21" s="1402" t="s">
        <v>541</v>
      </c>
      <c r="AB21" s="1404">
        <f t="shared" si="14"/>
        <v>92</v>
      </c>
      <c r="AD21" s="15"/>
      <c r="AM21" s="17"/>
      <c r="AN21" s="18"/>
      <c r="AO21" s="1377">
        <v>482000000</v>
      </c>
      <c r="AP21" s="999">
        <v>1928000</v>
      </c>
      <c r="AQ21" s="999" t="s">
        <v>331</v>
      </c>
      <c r="AR21" s="1378">
        <v>91.06</v>
      </c>
      <c r="AS21" s="999">
        <f t="shared" si="7"/>
        <v>1928000</v>
      </c>
      <c r="AT21" s="1376">
        <f t="shared" si="8"/>
        <v>482000000</v>
      </c>
      <c r="AV21" s="1778">
        <f t="shared" si="0"/>
        <v>2879999999.9999995</v>
      </c>
      <c r="AW21" s="1778">
        <f t="shared" si="1"/>
        <v>9600000</v>
      </c>
      <c r="AX21" s="1779" t="str">
        <f t="shared" si="2"/>
        <v>GL160*600</v>
      </c>
      <c r="AY21" s="1780">
        <v>160</v>
      </c>
      <c r="AZ21" s="1780">
        <v>600</v>
      </c>
      <c r="BA21" s="1781">
        <f t="shared" si="3"/>
        <v>96000</v>
      </c>
      <c r="BB21" s="1780">
        <v>380</v>
      </c>
      <c r="BC21" s="1782">
        <f t="shared" si="4"/>
        <v>36.479999999999997</v>
      </c>
      <c r="BD21" s="1783">
        <f t="shared" si="5"/>
        <v>9600000</v>
      </c>
      <c r="BE21" s="1783">
        <f t="shared" si="6"/>
        <v>2879999999.9999995</v>
      </c>
    </row>
    <row r="22" spans="1:57" x14ac:dyDescent="0.2">
      <c r="B22" s="189" t="s">
        <v>717</v>
      </c>
      <c r="D22" s="196">
        <f>IF(D16="nee","0",(D12*VLOOKUP(C11,$F$3:$G$4,2,0)*(VLOOKUP(C12,$F$3:$G$4,2,0)-1)))*D13</f>
        <v>0</v>
      </c>
      <c r="E22" s="17" t="s">
        <v>415</v>
      </c>
      <c r="F22" s="157"/>
      <c r="G22" s="196">
        <f>IF(G16="nee","0",(G12*VLOOKUP(F11,$F$3:$G$4,2,0)*(VLOOKUP(F12,$F$3:$G$4,2,0)-1)))*G13</f>
        <v>0</v>
      </c>
      <c r="H22" s="14" t="s">
        <v>415</v>
      </c>
      <c r="J22" s="196">
        <f>IF(J16="nee","0",(J12*VLOOKUP(I11,$F$3:$G$4,2,0)*(VLOOKUP(I12,$F$3:$G$4,2,0)-1)))*J13</f>
        <v>0</v>
      </c>
      <c r="K22" s="17" t="s">
        <v>415</v>
      </c>
      <c r="L22" s="14"/>
      <c r="S22" s="1400" t="s">
        <v>910</v>
      </c>
      <c r="T22" s="1401" t="str">
        <f>IF(U16&gt;$AO$104,VLOOKUP(U16,$AO$104:$AQ$116,3,TRUE),$AQ$104)</f>
        <v>maximum bereikt</v>
      </c>
      <c r="U22" s="1402" t="s">
        <v>541</v>
      </c>
      <c r="V22" s="1403">
        <f t="shared" si="12"/>
        <v>19</v>
      </c>
      <c r="W22" s="1401" t="str">
        <f>IF(X16&gt;$AO$104,VLOOKUP(X16,$AO$104:$AQ$116,3,TRUE),$AQ$104)</f>
        <v>maximum bereikt</v>
      </c>
      <c r="X22" s="1402" t="s">
        <v>541</v>
      </c>
      <c r="Y22" s="1403">
        <f t="shared" si="13"/>
        <v>19</v>
      </c>
      <c r="Z22" s="1401" t="str">
        <f>IF(AA16&gt;$AO$104,VLOOKUP(AA16,$AO$104:$AQ$116,3,TRUE),$AQ$104)</f>
        <v>maximum bereikt</v>
      </c>
      <c r="AA22" s="1402" t="s">
        <v>541</v>
      </c>
      <c r="AB22" s="1404">
        <f t="shared" si="14"/>
        <v>19</v>
      </c>
      <c r="AD22" s="15"/>
      <c r="AE22" s="18"/>
      <c r="AF22" s="919"/>
      <c r="AG22" s="44">
        <v>0.11</v>
      </c>
      <c r="AH22" s="43"/>
      <c r="AI22" s="43"/>
      <c r="AJ22" s="43"/>
      <c r="AK22" s="43"/>
      <c r="AL22" s="18"/>
      <c r="AM22" s="17"/>
      <c r="AN22" s="18"/>
      <c r="AO22" s="1377">
        <v>671200000</v>
      </c>
      <c r="AP22" s="999">
        <v>2441000</v>
      </c>
      <c r="AQ22" s="999" t="s">
        <v>332</v>
      </c>
      <c r="AR22" s="1378">
        <v>105.19</v>
      </c>
      <c r="AS22" s="999">
        <f t="shared" si="7"/>
        <v>2441000</v>
      </c>
      <c r="AT22" s="1376">
        <f t="shared" si="8"/>
        <v>671200000</v>
      </c>
      <c r="AV22" s="1778">
        <f t="shared" si="0"/>
        <v>3240000000</v>
      </c>
      <c r="AW22" s="1778">
        <f t="shared" si="1"/>
        <v>10800000</v>
      </c>
      <c r="AX22" s="1779" t="str">
        <f t="shared" si="2"/>
        <v>GL180*600</v>
      </c>
      <c r="AY22" s="1780">
        <v>180</v>
      </c>
      <c r="AZ22" s="1780">
        <v>600</v>
      </c>
      <c r="BA22" s="1781">
        <f t="shared" si="3"/>
        <v>108000</v>
      </c>
      <c r="BB22" s="1780">
        <v>380</v>
      </c>
      <c r="BC22" s="1782">
        <f t="shared" si="4"/>
        <v>41.04</v>
      </c>
      <c r="BD22" s="1783">
        <f t="shared" si="5"/>
        <v>10800000</v>
      </c>
      <c r="BE22" s="1783">
        <f t="shared" si="6"/>
        <v>3240000000</v>
      </c>
    </row>
    <row r="23" spans="1:57" x14ac:dyDescent="0.2">
      <c r="A23" s="14"/>
      <c r="B23" s="34" t="s">
        <v>1206</v>
      </c>
      <c r="C23" s="800"/>
      <c r="D23" s="939">
        <f>'01_ALGEMEEN'!$F$34</f>
        <v>1184</v>
      </c>
      <c r="E23" s="202" t="s">
        <v>81</v>
      </c>
      <c r="F23" s="195"/>
      <c r="G23" s="939">
        <f>'01_ALGEMEEN'!$F$41</f>
        <v>1084</v>
      </c>
      <c r="H23" s="35" t="s">
        <v>81</v>
      </c>
      <c r="I23" s="800"/>
      <c r="J23" s="939">
        <f>'01_ALGEMEEN'!$F$47</f>
        <v>1184</v>
      </c>
      <c r="K23" s="202" t="s">
        <v>81</v>
      </c>
      <c r="L23" s="18"/>
      <c r="S23" s="748" t="s">
        <v>357</v>
      </c>
      <c r="T23" s="1027" t="str">
        <f>IF(V23=V10,T10,IF(V23=V17,T17))</f>
        <v>320x8-190x25-470x15</v>
      </c>
      <c r="U23" s="27" t="s">
        <v>541</v>
      </c>
      <c r="V23" s="789">
        <f>MAX(V10,V17)</f>
        <v>91</v>
      </c>
      <c r="W23" s="1027" t="str">
        <f>IF(Y23=Y10,W10,IF(Y23=Y17,W17))</f>
        <v>320x8-240x30-520x15</v>
      </c>
      <c r="X23" s="27" t="s">
        <v>541</v>
      </c>
      <c r="Y23" s="789">
        <f>MAX(Y10,Y17)</f>
        <v>92</v>
      </c>
      <c r="Z23" s="1027" t="str">
        <f>IF(AB23=AB10,Z10,IF(AB23=AB17,Z17))</f>
        <v>HEA360</v>
      </c>
      <c r="AA23" s="27" t="s">
        <v>541</v>
      </c>
      <c r="AB23" s="856">
        <f>MAX(AB10,AB17)</f>
        <v>37</v>
      </c>
      <c r="AD23" s="15"/>
      <c r="AE23" s="14"/>
      <c r="AF23" s="14"/>
      <c r="AG23" s="14" t="s">
        <v>66</v>
      </c>
      <c r="AH23" s="14" t="s">
        <v>235</v>
      </c>
      <c r="AI23" s="14"/>
      <c r="AJ23" s="14"/>
      <c r="AK23" s="14"/>
      <c r="AL23" s="14"/>
      <c r="AM23" s="17"/>
      <c r="AN23" s="22"/>
      <c r="AO23" s="1377">
        <v>920800000</v>
      </c>
      <c r="AP23" s="999">
        <v>3069000</v>
      </c>
      <c r="AQ23" s="999" t="s">
        <v>333</v>
      </c>
      <c r="AR23" s="1378">
        <v>122.46</v>
      </c>
      <c r="AS23" s="999">
        <f>AP23</f>
        <v>3069000</v>
      </c>
      <c r="AT23" s="1376">
        <f>AO23</f>
        <v>920800000</v>
      </c>
      <c r="AV23" s="1778">
        <f t="shared" si="0"/>
        <v>3599999999.9999995</v>
      </c>
      <c r="AW23" s="1778">
        <f t="shared" si="1"/>
        <v>11999999.999999998</v>
      </c>
      <c r="AX23" s="1779" t="str">
        <f t="shared" si="2"/>
        <v>GL200*600</v>
      </c>
      <c r="AY23" s="1780">
        <v>200</v>
      </c>
      <c r="AZ23" s="1780">
        <v>600</v>
      </c>
      <c r="BA23" s="1781">
        <f t="shared" si="3"/>
        <v>120000</v>
      </c>
      <c r="BB23" s="1780">
        <v>380</v>
      </c>
      <c r="BC23" s="1782">
        <f t="shared" si="4"/>
        <v>45.6</v>
      </c>
      <c r="BD23" s="1783">
        <f t="shared" si="5"/>
        <v>11999999.999999998</v>
      </c>
      <c r="BE23" s="1783">
        <f t="shared" si="6"/>
        <v>3599999999.9999995</v>
      </c>
    </row>
    <row r="24" spans="1:57" ht="12.75" thickBot="1" x14ac:dyDescent="0.25">
      <c r="L24" s="22"/>
      <c r="S24" s="189" t="s">
        <v>542</v>
      </c>
      <c r="T24" s="798"/>
      <c r="U24" s="751">
        <f>VLOOKUP(T23,$AQ$6:$AR$116,2,0)</f>
        <v>132.822</v>
      </c>
      <c r="V24" s="33" t="s">
        <v>66</v>
      </c>
      <c r="W24" s="798"/>
      <c r="X24" s="751">
        <f>VLOOKUP(W23,$AQ$6:$AR$116,2,0)</f>
        <v>157.94200000000001</v>
      </c>
      <c r="Y24" s="33" t="s">
        <v>66</v>
      </c>
      <c r="Z24" s="798"/>
      <c r="AA24" s="751">
        <f>VLOOKUP(Z23,$AQ$6:$AR$116,2,0)</f>
        <v>112.09800000000001</v>
      </c>
      <c r="AB24" s="192" t="s">
        <v>66</v>
      </c>
      <c r="AD24" s="15"/>
      <c r="AE24" s="209" t="s">
        <v>239</v>
      </c>
      <c r="AF24" s="210" t="s">
        <v>207</v>
      </c>
      <c r="AG24" s="38"/>
      <c r="AH24" s="38"/>
      <c r="AI24" s="38"/>
      <c r="AJ24" s="38"/>
      <c r="AK24" s="211"/>
      <c r="AL24" s="917" t="str">
        <f>B4</f>
        <v>stramienmaat y</v>
      </c>
      <c r="AM24" s="917" t="str">
        <f>B3</f>
        <v>stramienmaat x</v>
      </c>
      <c r="AN24" s="204"/>
      <c r="AO24" s="1377">
        <v>1000000000</v>
      </c>
      <c r="AP24" s="999">
        <v>4000000</v>
      </c>
      <c r="AQ24" s="999" t="s">
        <v>924</v>
      </c>
      <c r="AR24" s="1378">
        <v>0</v>
      </c>
      <c r="AS24" s="999">
        <f>AP24</f>
        <v>4000000</v>
      </c>
      <c r="AT24" s="1376">
        <f>AO24</f>
        <v>1000000000</v>
      </c>
      <c r="AV24" s="1778">
        <f t="shared" si="0"/>
        <v>3959999999.9999995</v>
      </c>
      <c r="AW24" s="1778">
        <f t="shared" si="1"/>
        <v>13200000</v>
      </c>
      <c r="AX24" s="1779" t="str">
        <f t="shared" si="2"/>
        <v>GL220*600</v>
      </c>
      <c r="AY24" s="1780">
        <v>220</v>
      </c>
      <c r="AZ24" s="1780">
        <v>600</v>
      </c>
      <c r="BA24" s="1781">
        <f t="shared" si="3"/>
        <v>132000</v>
      </c>
      <c r="BB24" s="1780">
        <v>380</v>
      </c>
      <c r="BC24" s="1782">
        <f t="shared" si="4"/>
        <v>50.16</v>
      </c>
      <c r="BD24" s="1783">
        <f t="shared" si="5"/>
        <v>13200000</v>
      </c>
      <c r="BE24" s="1783">
        <f t="shared" si="6"/>
        <v>3959999999.9999995</v>
      </c>
    </row>
    <row r="25" spans="1:57" ht="16.5" thickBot="1" x14ac:dyDescent="0.3">
      <c r="B25" s="49" t="s">
        <v>665</v>
      </c>
      <c r="C25" s="1024"/>
      <c r="D25" s="188"/>
      <c r="E25" s="13"/>
      <c r="F25" s="1024"/>
      <c r="G25" s="753"/>
      <c r="H25" s="11"/>
      <c r="I25" s="1024"/>
      <c r="J25" s="753"/>
      <c r="K25" s="12"/>
      <c r="L25" s="18"/>
      <c r="S25" s="189" t="s">
        <v>720</v>
      </c>
      <c r="T25" s="798"/>
      <c r="U25" s="191">
        <f>$D$21</f>
        <v>360</v>
      </c>
      <c r="V25" s="14" t="s">
        <v>17</v>
      </c>
      <c r="W25" s="798"/>
      <c r="X25" s="191">
        <f>$G$21</f>
        <v>360</v>
      </c>
      <c r="Y25" s="14" t="s">
        <v>17</v>
      </c>
      <c r="Z25" s="798"/>
      <c r="AA25" s="191">
        <f>$J$21</f>
        <v>360</v>
      </c>
      <c r="AB25" s="17" t="s">
        <v>17</v>
      </c>
      <c r="AD25" s="15"/>
      <c r="AE25" s="39" t="s">
        <v>103</v>
      </c>
      <c r="AF25" s="40">
        <v>3.6</v>
      </c>
      <c r="AG25" s="41">
        <v>5.4</v>
      </c>
      <c r="AH25" s="41">
        <v>7.2</v>
      </c>
      <c r="AI25" s="41">
        <v>10.8</v>
      </c>
      <c r="AJ25" s="41">
        <v>12.6</v>
      </c>
      <c r="AK25" s="45">
        <v>16</v>
      </c>
      <c r="AL25" s="918">
        <f>D4</f>
        <v>3.7</v>
      </c>
      <c r="AM25" s="918">
        <f>D3</f>
        <v>10</v>
      </c>
      <c r="AN25" s="26"/>
      <c r="AO25" s="1379"/>
      <c r="AP25" s="1380"/>
      <c r="AQ25" s="1380"/>
      <c r="AR25" s="1380"/>
      <c r="AS25" s="1380"/>
      <c r="AT25" s="1381"/>
      <c r="AV25" s="1778">
        <f t="shared" si="0"/>
        <v>4320000000</v>
      </c>
      <c r="AW25" s="1778">
        <f t="shared" si="1"/>
        <v>14400000</v>
      </c>
      <c r="AX25" s="1779" t="str">
        <f t="shared" si="2"/>
        <v>GL240*600</v>
      </c>
      <c r="AY25" s="1780">
        <v>240</v>
      </c>
      <c r="AZ25" s="1780">
        <v>600</v>
      </c>
      <c r="BA25" s="1781">
        <f t="shared" si="3"/>
        <v>144000</v>
      </c>
      <c r="BB25" s="1780">
        <v>380</v>
      </c>
      <c r="BC25" s="1782">
        <f t="shared" si="4"/>
        <v>54.72</v>
      </c>
      <c r="BD25" s="1783">
        <f t="shared" si="5"/>
        <v>14400000</v>
      </c>
      <c r="BE25" s="1783">
        <f t="shared" si="6"/>
        <v>4320000000</v>
      </c>
    </row>
    <row r="26" spans="1:57" ht="12.75" thickBot="1" x14ac:dyDescent="0.25">
      <c r="B26" s="1019" t="s">
        <v>708</v>
      </c>
      <c r="C26" s="1029"/>
      <c r="D26" s="1020"/>
      <c r="E26" s="1021"/>
      <c r="F26" s="1029"/>
      <c r="G26" s="1020"/>
      <c r="H26" s="1021"/>
      <c r="I26" s="1029"/>
      <c r="J26" s="1020"/>
      <c r="K26" s="1022"/>
      <c r="L26" s="1068"/>
      <c r="M26" s="14"/>
      <c r="S26" s="189" t="s">
        <v>716</v>
      </c>
      <c r="T26" s="798"/>
      <c r="U26" s="1082">
        <f>U24*U25</f>
        <v>47815.92</v>
      </c>
      <c r="V26" s="10" t="s">
        <v>104</v>
      </c>
      <c r="W26" s="798"/>
      <c r="X26" s="1082">
        <f>X24*X25</f>
        <v>56859.12</v>
      </c>
      <c r="Y26" s="10" t="s">
        <v>104</v>
      </c>
      <c r="Z26" s="798"/>
      <c r="AA26" s="1082">
        <f>AA24*AA25</f>
        <v>40355.280000000006</v>
      </c>
      <c r="AB26" s="192" t="s">
        <v>104</v>
      </c>
      <c r="AD26" s="15"/>
      <c r="AE26" s="39">
        <v>5</v>
      </c>
      <c r="AF26" s="212">
        <f t="shared" ref="AF26:AM33" si="15">$AG$22*$AE26*AF$25</f>
        <v>1.9800000000000002</v>
      </c>
      <c r="AG26" s="42">
        <f>$AG$22*$AE26*AG$25</f>
        <v>2.9700000000000006</v>
      </c>
      <c r="AH26" s="42">
        <f t="shared" si="15"/>
        <v>3.9600000000000004</v>
      </c>
      <c r="AI26" s="42">
        <f t="shared" si="15"/>
        <v>5.9400000000000013</v>
      </c>
      <c r="AJ26" s="42">
        <f t="shared" si="15"/>
        <v>6.9300000000000006</v>
      </c>
      <c r="AK26" s="46">
        <f t="shared" si="15"/>
        <v>8.8000000000000007</v>
      </c>
      <c r="AL26" s="912">
        <f t="shared" si="15"/>
        <v>2.0350000000000001</v>
      </c>
      <c r="AM26" s="912">
        <f t="shared" si="15"/>
        <v>5.5</v>
      </c>
      <c r="AN26" s="18"/>
      <c r="AO26" s="1385" t="s">
        <v>869</v>
      </c>
      <c r="AP26" s="1386"/>
      <c r="AQ26" s="1387"/>
      <c r="AR26" s="1386"/>
      <c r="AS26" s="1388"/>
      <c r="AT26" s="1389"/>
      <c r="AV26" s="1778">
        <f t="shared" si="0"/>
        <v>4573333333.333333</v>
      </c>
      <c r="AW26" s="1778">
        <f t="shared" si="1"/>
        <v>13066666.666666666</v>
      </c>
      <c r="AX26" s="1779" t="str">
        <f t="shared" si="2"/>
        <v>GL160*700</v>
      </c>
      <c r="AY26" s="1780">
        <v>160</v>
      </c>
      <c r="AZ26" s="1780">
        <v>700</v>
      </c>
      <c r="BA26" s="1781">
        <f t="shared" si="3"/>
        <v>112000</v>
      </c>
      <c r="BB26" s="1780">
        <v>380</v>
      </c>
      <c r="BC26" s="1782">
        <f t="shared" si="4"/>
        <v>42.559999999999995</v>
      </c>
      <c r="BD26" s="1783">
        <f t="shared" si="5"/>
        <v>13066666.666666666</v>
      </c>
      <c r="BE26" s="1783">
        <f t="shared" si="6"/>
        <v>4573333333.333333</v>
      </c>
    </row>
    <row r="27" spans="1:57" x14ac:dyDescent="0.2">
      <c r="B27" s="1013"/>
      <c r="C27" s="1874" t="s">
        <v>673</v>
      </c>
      <c r="D27" s="1875"/>
      <c r="E27" s="1876"/>
      <c r="F27" s="1874" t="s">
        <v>672</v>
      </c>
      <c r="G27" s="1875"/>
      <c r="H27" s="1876"/>
      <c r="I27" s="1874" t="s">
        <v>517</v>
      </c>
      <c r="J27" s="1875"/>
      <c r="K27" s="1876"/>
      <c r="M27" s="14"/>
      <c r="S27" s="189" t="s">
        <v>719</v>
      </c>
      <c r="T27" s="798"/>
      <c r="U27" s="191">
        <f>U26/$D$23</f>
        <v>40.385067567567567</v>
      </c>
      <c r="V27" s="14" t="s">
        <v>67</v>
      </c>
      <c r="W27" s="798"/>
      <c r="X27" s="191">
        <f>X26/$G$23</f>
        <v>52.453062730627309</v>
      </c>
      <c r="Y27" s="14" t="s">
        <v>67</v>
      </c>
      <c r="Z27" s="798"/>
      <c r="AA27" s="191">
        <f>AA26/$J$23</f>
        <v>34.083851351351356</v>
      </c>
      <c r="AB27" s="17" t="s">
        <v>67</v>
      </c>
      <c r="AD27" s="15"/>
      <c r="AE27" s="39">
        <v>10</v>
      </c>
      <c r="AF27" s="212">
        <f>$AG$22*$AE27*AF$25</f>
        <v>3.9600000000000004</v>
      </c>
      <c r="AG27" s="42">
        <f t="shared" si="15"/>
        <v>5.9400000000000013</v>
      </c>
      <c r="AH27" s="42">
        <f t="shared" si="15"/>
        <v>7.9200000000000008</v>
      </c>
      <c r="AI27" s="42">
        <f t="shared" si="15"/>
        <v>11.880000000000003</v>
      </c>
      <c r="AJ27" s="42">
        <f t="shared" si="15"/>
        <v>13.860000000000001</v>
      </c>
      <c r="AK27" s="46">
        <f t="shared" si="15"/>
        <v>17.600000000000001</v>
      </c>
      <c r="AL27" s="912">
        <f t="shared" si="15"/>
        <v>4.07</v>
      </c>
      <c r="AM27" s="912">
        <f t="shared" si="15"/>
        <v>11</v>
      </c>
      <c r="AN27" s="30"/>
      <c r="AO27" s="1377" t="s">
        <v>311</v>
      </c>
      <c r="AP27" s="999" t="s">
        <v>310</v>
      </c>
      <c r="AQ27" s="999"/>
      <c r="AR27" s="1378" t="s">
        <v>309</v>
      </c>
      <c r="AS27" s="999" t="s">
        <v>310</v>
      </c>
      <c r="AT27" s="1376" t="s">
        <v>311</v>
      </c>
      <c r="AV27" s="1778">
        <f t="shared" si="0"/>
        <v>5145000000</v>
      </c>
      <c r="AW27" s="1778">
        <f t="shared" si="1"/>
        <v>14700000</v>
      </c>
      <c r="AX27" s="1779" t="str">
        <f t="shared" si="2"/>
        <v>GL180*700</v>
      </c>
      <c r="AY27" s="1780">
        <v>180</v>
      </c>
      <c r="AZ27" s="1780">
        <v>700</v>
      </c>
      <c r="BA27" s="1781">
        <f t="shared" si="3"/>
        <v>126000</v>
      </c>
      <c r="BB27" s="1780">
        <v>380</v>
      </c>
      <c r="BC27" s="1782">
        <f t="shared" si="4"/>
        <v>47.879999999999995</v>
      </c>
      <c r="BD27" s="1783">
        <f t="shared" si="5"/>
        <v>14700000</v>
      </c>
      <c r="BE27" s="1783">
        <f t="shared" si="6"/>
        <v>5145000000</v>
      </c>
    </row>
    <row r="28" spans="1:57" ht="12.75" thickBot="1" x14ac:dyDescent="0.25">
      <c r="B28" s="1062" t="s">
        <v>669</v>
      </c>
      <c r="C28" s="1063"/>
      <c r="D28" s="1064">
        <f>'01_ALGEMEEN'!$P$99</f>
        <v>6.4237333333333337</v>
      </c>
      <c r="E28" s="1065" t="s">
        <v>16</v>
      </c>
      <c r="F28" s="1063"/>
      <c r="G28" s="1064">
        <f>'01_ALGEMEEN'!$P$144</f>
        <v>6.9237333333333337</v>
      </c>
      <c r="H28" s="1065" t="s">
        <v>16</v>
      </c>
      <c r="I28" s="1063"/>
      <c r="J28" s="1064">
        <f>'01_ALGEMEEN'!$P$189</f>
        <v>6.8699999999999992</v>
      </c>
      <c r="K28" s="1066" t="s">
        <v>16</v>
      </c>
      <c r="L28" s="1083"/>
      <c r="M28" s="14"/>
      <c r="S28" s="189"/>
      <c r="T28" s="798"/>
      <c r="U28" s="157"/>
      <c r="V28" s="33"/>
      <c r="W28" s="798"/>
      <c r="X28" s="157"/>
      <c r="Y28" s="33"/>
      <c r="Z28" s="798"/>
      <c r="AA28" s="157"/>
      <c r="AB28" s="1405"/>
      <c r="AD28" s="15"/>
      <c r="AE28" s="39">
        <v>15</v>
      </c>
      <c r="AF28" s="212">
        <f t="shared" ref="AF28:AF33" si="16">$AG$22*$AE28*AF$25</f>
        <v>5.9399999999999995</v>
      </c>
      <c r="AG28" s="42">
        <f t="shared" si="15"/>
        <v>8.91</v>
      </c>
      <c r="AH28" s="42">
        <f t="shared" si="15"/>
        <v>11.879999999999999</v>
      </c>
      <c r="AI28" s="42">
        <f t="shared" si="15"/>
        <v>17.82</v>
      </c>
      <c r="AJ28" s="42">
        <f t="shared" si="15"/>
        <v>20.79</v>
      </c>
      <c r="AK28" s="46">
        <f t="shared" si="15"/>
        <v>26.4</v>
      </c>
      <c r="AL28" s="912">
        <f t="shared" si="15"/>
        <v>6.1049999999999995</v>
      </c>
      <c r="AM28" s="912">
        <f t="shared" si="15"/>
        <v>16.5</v>
      </c>
      <c r="AN28" s="18"/>
      <c r="AO28" s="1377" t="s">
        <v>315</v>
      </c>
      <c r="AP28" s="999" t="s">
        <v>314</v>
      </c>
      <c r="AQ28" s="999"/>
      <c r="AR28" s="1378" t="s">
        <v>313</v>
      </c>
      <c r="AS28" s="999" t="s">
        <v>314</v>
      </c>
      <c r="AT28" s="1376" t="s">
        <v>315</v>
      </c>
      <c r="AV28" s="1778">
        <f t="shared" si="0"/>
        <v>5716666666.666666</v>
      </c>
      <c r="AW28" s="1778">
        <f t="shared" si="1"/>
        <v>16333333.33333333</v>
      </c>
      <c r="AX28" s="1779" t="str">
        <f t="shared" si="2"/>
        <v>GL200*700</v>
      </c>
      <c r="AY28" s="1780">
        <v>200</v>
      </c>
      <c r="AZ28" s="1780">
        <v>700</v>
      </c>
      <c r="BA28" s="1781">
        <f t="shared" si="3"/>
        <v>140000</v>
      </c>
      <c r="BB28" s="1780">
        <v>380</v>
      </c>
      <c r="BC28" s="1782">
        <f t="shared" si="4"/>
        <v>53.199999999999996</v>
      </c>
      <c r="BD28" s="1783">
        <f t="shared" si="5"/>
        <v>16333333.33333333</v>
      </c>
      <c r="BE28" s="1783">
        <f t="shared" si="6"/>
        <v>5716666666.666666</v>
      </c>
    </row>
    <row r="29" spans="1:57" ht="12.75" thickBot="1" x14ac:dyDescent="0.25">
      <c r="B29" s="189"/>
      <c r="D29" s="157"/>
      <c r="E29" s="33"/>
      <c r="G29" s="157"/>
      <c r="H29" s="17"/>
      <c r="J29" s="157"/>
      <c r="K29" s="17"/>
      <c r="M29" s="14"/>
      <c r="S29" s="1017" t="s">
        <v>676</v>
      </c>
      <c r="T29" s="1031"/>
      <c r="U29" s="842"/>
      <c r="V29" s="1014"/>
      <c r="W29" s="1031"/>
      <c r="X29" s="842"/>
      <c r="Y29" s="1015"/>
      <c r="Z29" s="1031"/>
      <c r="AA29" s="842"/>
      <c r="AB29" s="1016"/>
      <c r="AD29" s="15"/>
      <c r="AE29" s="39">
        <v>20</v>
      </c>
      <c r="AF29" s="212">
        <f t="shared" si="16"/>
        <v>7.9200000000000008</v>
      </c>
      <c r="AG29" s="42">
        <f t="shared" si="15"/>
        <v>11.880000000000003</v>
      </c>
      <c r="AH29" s="42">
        <f t="shared" si="15"/>
        <v>15.840000000000002</v>
      </c>
      <c r="AI29" s="42">
        <f t="shared" si="15"/>
        <v>23.760000000000005</v>
      </c>
      <c r="AJ29" s="42">
        <f t="shared" si="15"/>
        <v>27.720000000000002</v>
      </c>
      <c r="AK29" s="46">
        <f t="shared" si="15"/>
        <v>35.200000000000003</v>
      </c>
      <c r="AL29" s="912">
        <f t="shared" si="15"/>
        <v>8.14</v>
      </c>
      <c r="AM29" s="912">
        <f t="shared" si="15"/>
        <v>22</v>
      </c>
      <c r="AN29" s="18"/>
      <c r="AO29" s="1395">
        <v>3490000</v>
      </c>
      <c r="AP29" s="1382">
        <v>73000</v>
      </c>
      <c r="AQ29" s="1382" t="s">
        <v>777</v>
      </c>
      <c r="AR29" s="1383">
        <v>16.642000000000003</v>
      </c>
      <c r="AS29" s="32">
        <f t="shared" ref="AS29:AS53" si="17">AP29</f>
        <v>73000</v>
      </c>
      <c r="AT29" s="754">
        <f t="shared" ref="AT29:AT53" si="18">AO29</f>
        <v>3490000</v>
      </c>
      <c r="AV29" s="1778">
        <f t="shared" si="0"/>
        <v>6288333333.333333</v>
      </c>
      <c r="AW29" s="1778">
        <f t="shared" si="1"/>
        <v>17966666.666666664</v>
      </c>
      <c r="AX29" s="1779" t="str">
        <f t="shared" si="2"/>
        <v>GL220*700</v>
      </c>
      <c r="AY29" s="1780">
        <v>220</v>
      </c>
      <c r="AZ29" s="1780">
        <v>700</v>
      </c>
      <c r="BA29" s="1781">
        <f t="shared" si="3"/>
        <v>154000</v>
      </c>
      <c r="BB29" s="1780">
        <v>380</v>
      </c>
      <c r="BC29" s="1782">
        <f t="shared" si="4"/>
        <v>58.519999999999996</v>
      </c>
      <c r="BD29" s="1783">
        <f t="shared" si="5"/>
        <v>17966666.666666664</v>
      </c>
      <c r="BE29" s="1783">
        <f t="shared" si="6"/>
        <v>6288333333.333333</v>
      </c>
    </row>
    <row r="30" spans="1:57" x14ac:dyDescent="0.2">
      <c r="B30" s="189" t="s">
        <v>695</v>
      </c>
      <c r="D30" s="197">
        <f>IF(D$17=1,(D28*D$10),"nvt")</f>
        <v>23.767813333333336</v>
      </c>
      <c r="E30" s="32" t="str">
        <f>IF(D$13=1,"kN/m","")</f>
        <v>kN/m</v>
      </c>
      <c r="G30" s="197">
        <f>IF(G$17=1,(G28*G$10),"nvt")</f>
        <v>25.617813333333338</v>
      </c>
      <c r="H30" s="32" t="str">
        <f>IF(G$13=1,"kN/m","")</f>
        <v>kN/m</v>
      </c>
      <c r="J30" s="197">
        <f>IF(J$17=1,(J28*J$10),"nvt")</f>
        <v>25.418999999999997</v>
      </c>
      <c r="K30" s="754" t="str">
        <f>IF(J$13=1,"kN/m","")</f>
        <v>kN/m</v>
      </c>
      <c r="L30" s="14"/>
      <c r="M30" s="18"/>
      <c r="S30" s="1018"/>
      <c r="T30" s="1874" t="s">
        <v>673</v>
      </c>
      <c r="U30" s="1875"/>
      <c r="V30" s="1876"/>
      <c r="W30" s="1874" t="s">
        <v>672</v>
      </c>
      <c r="X30" s="1875"/>
      <c r="Y30" s="1876"/>
      <c r="Z30" s="1874" t="s">
        <v>517</v>
      </c>
      <c r="AA30" s="1875"/>
      <c r="AB30" s="1876"/>
      <c r="AD30" s="15"/>
      <c r="AE30" s="39"/>
      <c r="AF30" s="42">
        <f t="shared" si="16"/>
        <v>0</v>
      </c>
      <c r="AG30" s="42">
        <f t="shared" si="15"/>
        <v>0</v>
      </c>
      <c r="AH30" s="42">
        <f t="shared" si="15"/>
        <v>0</v>
      </c>
      <c r="AI30" s="42">
        <f t="shared" si="15"/>
        <v>0</v>
      </c>
      <c r="AJ30" s="42">
        <f t="shared" si="15"/>
        <v>0</v>
      </c>
      <c r="AK30" s="42">
        <f t="shared" si="15"/>
        <v>0</v>
      </c>
      <c r="AL30" s="912">
        <f t="shared" si="15"/>
        <v>0</v>
      </c>
      <c r="AM30" s="912">
        <f t="shared" si="15"/>
        <v>0</v>
      </c>
      <c r="AN30" s="32"/>
      <c r="AO30" s="1395">
        <v>6060000</v>
      </c>
      <c r="AP30" s="1382">
        <v>106000</v>
      </c>
      <c r="AQ30" s="1382" t="s">
        <v>778</v>
      </c>
      <c r="AR30" s="1383">
        <v>19.860500000000002</v>
      </c>
      <c r="AS30" s="32">
        <f t="shared" si="17"/>
        <v>106000</v>
      </c>
      <c r="AT30" s="754">
        <f t="shared" si="18"/>
        <v>6060000</v>
      </c>
      <c r="AV30" s="1778">
        <f t="shared" si="0"/>
        <v>6826666666.666666</v>
      </c>
      <c r="AW30" s="1778">
        <f t="shared" si="1"/>
        <v>17066666.666666664</v>
      </c>
      <c r="AX30" s="1779" t="str">
        <f t="shared" si="2"/>
        <v>GL160*800</v>
      </c>
      <c r="AY30" s="1780">
        <v>160</v>
      </c>
      <c r="AZ30" s="1780">
        <v>800</v>
      </c>
      <c r="BA30" s="1781">
        <f t="shared" si="3"/>
        <v>128000</v>
      </c>
      <c r="BB30" s="1780">
        <v>380</v>
      </c>
      <c r="BC30" s="1782">
        <f t="shared" si="4"/>
        <v>48.64</v>
      </c>
      <c r="BD30" s="1783">
        <f t="shared" si="5"/>
        <v>17066666.666666664</v>
      </c>
      <c r="BE30" s="1783">
        <f t="shared" si="6"/>
        <v>6826666666.666666</v>
      </c>
    </row>
    <row r="31" spans="1:57" x14ac:dyDescent="0.2">
      <c r="B31" s="189" t="s">
        <v>696</v>
      </c>
      <c r="D31" s="197" t="str">
        <f>IF(D$17=2,(D28*D$10),"nvt")</f>
        <v>nvt</v>
      </c>
      <c r="E31" s="32" t="str">
        <f>IF(D$13=2,"kN/m","")</f>
        <v/>
      </c>
      <c r="G31" s="197" t="str">
        <f>IF(G$17=2,(G28*G$10),"nvt")</f>
        <v>nvt</v>
      </c>
      <c r="H31" s="32" t="str">
        <f>IF(G$13=2,"kN/m","")</f>
        <v/>
      </c>
      <c r="J31" s="197" t="str">
        <f>IF(J$17=2,(J28*J$10),"nvt")</f>
        <v>nvt</v>
      </c>
      <c r="K31" s="754" t="str">
        <f>IF(J$13=2,"kN/m","")</f>
        <v/>
      </c>
      <c r="L31" s="14"/>
      <c r="M31" s="18"/>
      <c r="S31" s="818" t="s">
        <v>681</v>
      </c>
      <c r="T31" s="1027" t="str">
        <f>'01_ALGEMEEN'!$D$123</f>
        <v>gewalst staal S235</v>
      </c>
      <c r="U31" s="190">
        <f>VLOOKUP(T31,$M$3:$P$11,3,0)</f>
        <v>200</v>
      </c>
      <c r="V31" s="18" t="s">
        <v>139</v>
      </c>
      <c r="W31" s="1027" t="str">
        <f>'01_ALGEMEEN'!$D$168</f>
        <v>gewalst staal S235</v>
      </c>
      <c r="X31" s="190">
        <f>VLOOKUP(W31,$M$3:$P$11,3,0)</f>
        <v>200</v>
      </c>
      <c r="Y31" s="18" t="s">
        <v>139</v>
      </c>
      <c r="Z31" s="1027" t="str">
        <f>'01_ALGEMEEN'!$D$212</f>
        <v>gelamineerd hout</v>
      </c>
      <c r="AA31" s="190">
        <f>VLOOKUP(Z31,$M$3:$P$11,3,0)</f>
        <v>14</v>
      </c>
      <c r="AB31" s="1067" t="s">
        <v>139</v>
      </c>
      <c r="AD31" s="914" t="s">
        <v>543</v>
      </c>
      <c r="AE31" s="1085">
        <f>D41</f>
        <v>8.6084800000000001</v>
      </c>
      <c r="AF31" s="915">
        <f>$AG$22*$AE31*AF$25</f>
        <v>3.4089580800000001</v>
      </c>
      <c r="AG31" s="915">
        <f t="shared" si="15"/>
        <v>5.1134371200000004</v>
      </c>
      <c r="AH31" s="915">
        <f t="shared" si="15"/>
        <v>6.8179161600000002</v>
      </c>
      <c r="AI31" s="915">
        <f t="shared" si="15"/>
        <v>10.226874240000001</v>
      </c>
      <c r="AJ31" s="915">
        <f t="shared" si="15"/>
        <v>11.93135328</v>
      </c>
      <c r="AK31" s="915">
        <f t="shared" si="15"/>
        <v>15.1509248</v>
      </c>
      <c r="AL31" s="913">
        <f t="shared" si="15"/>
        <v>3.5036513600000001</v>
      </c>
      <c r="AM31" s="913">
        <f t="shared" si="15"/>
        <v>9.4693280000000009</v>
      </c>
      <c r="AN31" s="32"/>
      <c r="AO31" s="1395">
        <v>10330000</v>
      </c>
      <c r="AP31" s="1382">
        <v>155000</v>
      </c>
      <c r="AQ31" s="1382" t="s">
        <v>780</v>
      </c>
      <c r="AR31" s="1383">
        <v>24.649000000000004</v>
      </c>
      <c r="AS31" s="32">
        <f t="shared" si="17"/>
        <v>155000</v>
      </c>
      <c r="AT31" s="754">
        <f t="shared" si="18"/>
        <v>10330000</v>
      </c>
      <c r="AV31" s="1778">
        <f t="shared" si="0"/>
        <v>7680000000</v>
      </c>
      <c r="AW31" s="1778">
        <f t="shared" si="1"/>
        <v>19200000</v>
      </c>
      <c r="AX31" s="1779" t="str">
        <f t="shared" si="2"/>
        <v>GL180*800</v>
      </c>
      <c r="AY31" s="1780">
        <v>180</v>
      </c>
      <c r="AZ31" s="1780">
        <v>800</v>
      </c>
      <c r="BA31" s="1781">
        <f t="shared" si="3"/>
        <v>144000</v>
      </c>
      <c r="BB31" s="1780">
        <v>380</v>
      </c>
      <c r="BC31" s="1782">
        <f t="shared" si="4"/>
        <v>54.72</v>
      </c>
      <c r="BD31" s="1783">
        <f t="shared" si="5"/>
        <v>19200000</v>
      </c>
      <c r="BE31" s="1783">
        <f t="shared" si="6"/>
        <v>7680000000</v>
      </c>
    </row>
    <row r="32" spans="1:57" x14ac:dyDescent="0.2">
      <c r="B32" s="189" t="s">
        <v>702</v>
      </c>
      <c r="C32" s="1011"/>
      <c r="D32" s="197" t="str">
        <f>IF(D$17=3,(D28*D$12),"nvt")</f>
        <v>nvt</v>
      </c>
      <c r="E32" s="32" t="str">
        <f>IF(D$13=3,"kN/m","")</f>
        <v/>
      </c>
      <c r="F32" s="1011"/>
      <c r="G32" s="197" t="str">
        <f>IF(G$17=3,(G28*G$12),"nvt")</f>
        <v>nvt</v>
      </c>
      <c r="H32" s="32" t="str">
        <f>IF(G$13=3,"kN/m","")</f>
        <v/>
      </c>
      <c r="I32" s="1011"/>
      <c r="J32" s="197" t="str">
        <f>IF(J$17=3,(J28*J$12),"nvt")</f>
        <v>nvt</v>
      </c>
      <c r="K32" s="754" t="str">
        <f>IF(J$13=3,"kN/m","")</f>
        <v/>
      </c>
      <c r="L32" s="14"/>
      <c r="M32" s="18"/>
      <c r="S32" s="818" t="s">
        <v>283</v>
      </c>
      <c r="T32" s="1027"/>
      <c r="U32" s="190">
        <f>VLOOKUP(T31,$M$3:$P$11,4,0)</f>
        <v>210000</v>
      </c>
      <c r="V32" s="18" t="s">
        <v>139</v>
      </c>
      <c r="W32" s="1027"/>
      <c r="X32" s="190">
        <f>VLOOKUP(W31,$M$3:$P$11,4,0)</f>
        <v>210000</v>
      </c>
      <c r="Y32" s="18" t="s">
        <v>139</v>
      </c>
      <c r="Z32" s="1027"/>
      <c r="AA32" s="190">
        <f>VLOOKUP(Z31,$M$3:$P$11,4,0)</f>
        <v>11500</v>
      </c>
      <c r="AB32" s="25" t="s">
        <v>139</v>
      </c>
      <c r="AD32" s="914" t="s">
        <v>544</v>
      </c>
      <c r="AE32" s="1085">
        <f>G41</f>
        <v>9.3584800000000001</v>
      </c>
      <c r="AF32" s="915">
        <f t="shared" si="16"/>
        <v>3.7059580799999998</v>
      </c>
      <c r="AG32" s="915">
        <f t="shared" si="15"/>
        <v>5.5589371200000004</v>
      </c>
      <c r="AH32" s="915">
        <f t="shared" si="15"/>
        <v>7.4119161599999996</v>
      </c>
      <c r="AI32" s="915">
        <f t="shared" si="15"/>
        <v>11.117874240000001</v>
      </c>
      <c r="AJ32" s="915">
        <f t="shared" si="15"/>
        <v>12.970853279999998</v>
      </c>
      <c r="AK32" s="915">
        <f t="shared" si="15"/>
        <v>16.470924799999999</v>
      </c>
      <c r="AL32" s="913">
        <f t="shared" si="15"/>
        <v>3.8089013600000001</v>
      </c>
      <c r="AM32" s="913">
        <f t="shared" si="15"/>
        <v>10.294328</v>
      </c>
      <c r="AN32" s="32"/>
      <c r="AO32" s="1395">
        <v>16730000</v>
      </c>
      <c r="AP32" s="1382">
        <v>220000</v>
      </c>
      <c r="AQ32" s="1382" t="s">
        <v>782</v>
      </c>
      <c r="AR32" s="1383">
        <v>30.458000000000006</v>
      </c>
      <c r="AS32" s="32">
        <f t="shared" si="17"/>
        <v>220000</v>
      </c>
      <c r="AT32" s="754">
        <f t="shared" si="18"/>
        <v>16730000</v>
      </c>
      <c r="AV32" s="1778">
        <f t="shared" si="0"/>
        <v>8533333333.3333321</v>
      </c>
      <c r="AW32" s="1778">
        <f t="shared" si="1"/>
        <v>21333333.333333332</v>
      </c>
      <c r="AX32" s="1779" t="str">
        <f t="shared" si="2"/>
        <v>GL200*800</v>
      </c>
      <c r="AY32" s="1780">
        <v>200</v>
      </c>
      <c r="AZ32" s="1780">
        <v>800</v>
      </c>
      <c r="BA32" s="1781">
        <f t="shared" si="3"/>
        <v>160000</v>
      </c>
      <c r="BB32" s="1780">
        <v>380</v>
      </c>
      <c r="BC32" s="1782">
        <f t="shared" si="4"/>
        <v>60.8</v>
      </c>
      <c r="BD32" s="1783">
        <f t="shared" si="5"/>
        <v>21333333.333333332</v>
      </c>
      <c r="BE32" s="1783">
        <f t="shared" si="6"/>
        <v>8533333333.3333321</v>
      </c>
    </row>
    <row r="33" spans="2:57" x14ac:dyDescent="0.2">
      <c r="B33" s="1054" t="s">
        <v>701</v>
      </c>
      <c r="C33" s="1055"/>
      <c r="D33" s="1056">
        <f>(1/8)*MAX(D30:D32)*(D$11^2)</f>
        <v>297.09766666666673</v>
      </c>
      <c r="E33" s="1057" t="s">
        <v>92</v>
      </c>
      <c r="F33" s="1055"/>
      <c r="G33" s="1056">
        <f>(1/8)*MAX(G30:G32)*(G$11^2)</f>
        <v>320.22266666666673</v>
      </c>
      <c r="H33" s="1057" t="s">
        <v>92</v>
      </c>
      <c r="I33" s="1055"/>
      <c r="J33" s="1056">
        <f>(1/8)*MAX(J30:J32)*(J$11^2)</f>
        <v>317.73749999999995</v>
      </c>
      <c r="K33" s="1058" t="s">
        <v>92</v>
      </c>
      <c r="L33" s="14"/>
      <c r="M33" s="16"/>
      <c r="N33" s="16"/>
      <c r="O33" s="16"/>
      <c r="P33" s="16"/>
      <c r="Q33" s="16"/>
      <c r="S33" s="818"/>
      <c r="T33" s="1025"/>
      <c r="U33" s="27"/>
      <c r="V33" s="28"/>
      <c r="W33" s="1025"/>
      <c r="X33" s="27"/>
      <c r="Y33" s="28"/>
      <c r="Z33" s="1025"/>
      <c r="AA33" s="27"/>
      <c r="AB33" s="193"/>
      <c r="AD33" s="914" t="s">
        <v>447</v>
      </c>
      <c r="AE33" s="1085">
        <f>J41</f>
        <v>8.5440000000000005</v>
      </c>
      <c r="AF33" s="915">
        <f t="shared" si="16"/>
        <v>3.3834240000000002</v>
      </c>
      <c r="AG33" s="915">
        <f t="shared" si="15"/>
        <v>5.0751360000000005</v>
      </c>
      <c r="AH33" s="915">
        <f t="shared" si="15"/>
        <v>6.7668480000000004</v>
      </c>
      <c r="AI33" s="915">
        <f t="shared" si="15"/>
        <v>10.150272000000001</v>
      </c>
      <c r="AJ33" s="915">
        <f t="shared" si="15"/>
        <v>11.841984</v>
      </c>
      <c r="AK33" s="915">
        <f t="shared" si="15"/>
        <v>15.03744</v>
      </c>
      <c r="AL33" s="913">
        <f t="shared" si="15"/>
        <v>3.4774080000000001</v>
      </c>
      <c r="AM33" s="913">
        <f t="shared" si="15"/>
        <v>9.3984000000000005</v>
      </c>
      <c r="AN33" s="32"/>
      <c r="AO33" s="1395">
        <v>25100000</v>
      </c>
      <c r="AP33" s="1382">
        <v>294000</v>
      </c>
      <c r="AQ33" s="1382" t="s">
        <v>784</v>
      </c>
      <c r="AR33" s="1383">
        <v>35.560500000000005</v>
      </c>
      <c r="AS33" s="32">
        <f t="shared" si="17"/>
        <v>294000</v>
      </c>
      <c r="AT33" s="754">
        <f t="shared" si="18"/>
        <v>25100000</v>
      </c>
      <c r="AV33" s="1778">
        <f t="shared" si="0"/>
        <v>9386666666.666666</v>
      </c>
      <c r="AW33" s="1778">
        <f t="shared" si="1"/>
        <v>23466666.666666664</v>
      </c>
      <c r="AX33" s="1779" t="str">
        <f t="shared" si="2"/>
        <v>GL220*800</v>
      </c>
      <c r="AY33" s="1780">
        <v>220</v>
      </c>
      <c r="AZ33" s="1780">
        <v>800</v>
      </c>
      <c r="BA33" s="1781">
        <f t="shared" si="3"/>
        <v>176000</v>
      </c>
      <c r="BB33" s="1780">
        <v>380</v>
      </c>
      <c r="BC33" s="1782">
        <f t="shared" si="4"/>
        <v>66.88</v>
      </c>
      <c r="BD33" s="1783">
        <f t="shared" si="5"/>
        <v>23466666.666666664</v>
      </c>
      <c r="BE33" s="1783">
        <f t="shared" si="6"/>
        <v>9386666666.666666</v>
      </c>
    </row>
    <row r="34" spans="2:57" x14ac:dyDescent="0.2">
      <c r="B34" s="199"/>
      <c r="C34" s="1028"/>
      <c r="D34" s="200"/>
      <c r="E34" s="740"/>
      <c r="F34" s="1028"/>
      <c r="G34" s="200"/>
      <c r="H34" s="848"/>
      <c r="I34" s="1028"/>
      <c r="J34" s="200"/>
      <c r="K34" s="923"/>
      <c r="L34" s="14"/>
      <c r="R34" s="17"/>
      <c r="S34" s="10" t="s">
        <v>896</v>
      </c>
      <c r="T34" s="798"/>
      <c r="U34" s="187" t="str">
        <f>'01_ALGEMEEN'!$E$123</f>
        <v>THQ</v>
      </c>
      <c r="V34" s="10"/>
      <c r="W34" s="798"/>
      <c r="X34" s="187" t="str">
        <f>'01_ALGEMEEN'!$E$168</f>
        <v>THQ</v>
      </c>
      <c r="Z34" s="798"/>
      <c r="AA34" s="187" t="str">
        <f>'01_ALGEMEEN'!$E$212</f>
        <v>IPE</v>
      </c>
      <c r="AB34" s="17"/>
      <c r="AF34" s="36"/>
      <c r="AG34" s="36"/>
      <c r="AH34" s="205"/>
      <c r="AI34" s="18"/>
      <c r="AJ34" s="18"/>
      <c r="AK34" s="18"/>
      <c r="AL34" s="31"/>
      <c r="AM34" s="32"/>
      <c r="AN34" s="32"/>
      <c r="AO34" s="1395">
        <v>36920000</v>
      </c>
      <c r="AP34" s="1382">
        <v>389000</v>
      </c>
      <c r="AQ34" s="1382" t="s">
        <v>785</v>
      </c>
      <c r="AR34" s="1383">
        <v>42.233000000000004</v>
      </c>
      <c r="AS34" s="32">
        <f t="shared" si="17"/>
        <v>389000</v>
      </c>
      <c r="AT34" s="754">
        <f t="shared" si="18"/>
        <v>36920000</v>
      </c>
      <c r="AV34" s="1778"/>
      <c r="AW34" s="1778"/>
      <c r="AX34" s="1779"/>
      <c r="AY34" s="1780"/>
      <c r="AZ34" s="1780"/>
      <c r="BA34" s="1781"/>
      <c r="BB34" s="1780">
        <v>380</v>
      </c>
      <c r="BC34" s="1782"/>
      <c r="BD34" s="1783"/>
      <c r="BE34" s="1783"/>
    </row>
    <row r="35" spans="2:57" x14ac:dyDescent="0.2">
      <c r="B35" s="189" t="s">
        <v>698</v>
      </c>
      <c r="D35" s="157"/>
      <c r="E35" s="32"/>
      <c r="G35" s="157"/>
      <c r="H35" s="32"/>
      <c r="J35" s="157"/>
      <c r="K35" s="754"/>
      <c r="L35" s="14"/>
      <c r="M35" s="14"/>
      <c r="N35" s="14"/>
      <c r="O35" s="14"/>
      <c r="P35" s="14"/>
      <c r="Q35" s="14"/>
      <c r="R35" s="17"/>
      <c r="S35" s="1407" t="s">
        <v>1195</v>
      </c>
      <c r="T35" s="1025"/>
      <c r="U35" s="751">
        <f>$D$51*1000000/U31</f>
        <v>0</v>
      </c>
      <c r="V35" s="28" t="s">
        <v>355</v>
      </c>
      <c r="W35" s="1025"/>
      <c r="X35" s="751">
        <f>$G$51*1000000/X31</f>
        <v>0</v>
      </c>
      <c r="Y35" s="28" t="s">
        <v>355</v>
      </c>
      <c r="Z35" s="1025"/>
      <c r="AA35" s="751">
        <f>$J$51*1000000/AA31</f>
        <v>0</v>
      </c>
      <c r="AB35" s="193" t="s">
        <v>355</v>
      </c>
      <c r="AF35" s="18"/>
      <c r="AG35" s="18"/>
      <c r="AH35" s="18"/>
      <c r="AI35" s="18"/>
      <c r="AJ35" s="18"/>
      <c r="AK35" s="18"/>
      <c r="AL35" s="18"/>
      <c r="AM35" s="18"/>
      <c r="AN35" s="31"/>
      <c r="AO35" s="1395">
        <v>54100000</v>
      </c>
      <c r="AP35" s="1382">
        <v>515000</v>
      </c>
      <c r="AQ35" s="1382" t="s">
        <v>787</v>
      </c>
      <c r="AR35" s="1383">
        <v>50.475500000000004</v>
      </c>
      <c r="AS35" s="32">
        <f t="shared" si="17"/>
        <v>515000</v>
      </c>
      <c r="AT35" s="754">
        <f t="shared" si="18"/>
        <v>54100000</v>
      </c>
      <c r="AV35" s="1778">
        <f t="shared" si="0"/>
        <v>9720000000</v>
      </c>
      <c r="AW35" s="1778">
        <f t="shared" si="1"/>
        <v>21599999.999999996</v>
      </c>
      <c r="AX35" s="1779" t="str">
        <f t="shared" ref="AX35:AX40" si="19">CONCATENATE("GL",AY35,"*",AZ35)</f>
        <v>GL160*900</v>
      </c>
      <c r="AY35" s="1780">
        <v>160</v>
      </c>
      <c r="AZ35" s="1780">
        <v>900</v>
      </c>
      <c r="BA35" s="1781">
        <f t="shared" si="3"/>
        <v>144000</v>
      </c>
      <c r="BB35" s="1780">
        <v>380</v>
      </c>
      <c r="BC35" s="1782">
        <f t="shared" si="4"/>
        <v>54.72</v>
      </c>
      <c r="BD35" s="1783">
        <f t="shared" si="5"/>
        <v>21599999.999999996</v>
      </c>
      <c r="BE35" s="1783">
        <f t="shared" si="6"/>
        <v>9720000000</v>
      </c>
    </row>
    <row r="36" spans="2:57" x14ac:dyDescent="0.2">
      <c r="B36" s="189" t="s">
        <v>697</v>
      </c>
      <c r="D36" s="186" t="str">
        <f>IF(D$17=2,2,"nvt")</f>
        <v>nvt</v>
      </c>
      <c r="E36" s="32" t="str">
        <f>IF(D$13=2,"kN/m","")</f>
        <v/>
      </c>
      <c r="G36" s="186" t="str">
        <f>IF(G$17=2,2,"nvt")</f>
        <v>nvt</v>
      </c>
      <c r="H36" s="32" t="str">
        <f>IF(G$13=2,"kN/m","")</f>
        <v/>
      </c>
      <c r="J36" s="186" t="str">
        <f>IF(J$17=2,2,"nvt")</f>
        <v>nvt</v>
      </c>
      <c r="K36" s="754" t="str">
        <f>IF(J$13=2,"kN/m","")</f>
        <v/>
      </c>
      <c r="L36" s="14"/>
      <c r="M36" s="14"/>
      <c r="N36" s="14"/>
      <c r="O36" s="14"/>
      <c r="P36" s="14"/>
      <c r="Q36" s="14"/>
      <c r="R36" s="17"/>
      <c r="S36" s="1408" t="s">
        <v>540</v>
      </c>
      <c r="T36" s="1027" t="str">
        <f>VLOOKUP(U34,$S$37:$AB$41,2,0)</f>
        <v>150x5-190x15-400x12</v>
      </c>
      <c r="U36" s="849" t="s">
        <v>541</v>
      </c>
      <c r="V36" s="789">
        <f t="shared" ref="V36:V41" si="20">MATCH(T36,$AQ$6:$AQ$116,0)</f>
        <v>82</v>
      </c>
      <c r="W36" s="1027" t="str">
        <f>VLOOKUP(X34,$S$37:$AB$41,5,0)</f>
        <v>150x5-190x15-400x12</v>
      </c>
      <c r="X36" s="849" t="s">
        <v>541</v>
      </c>
      <c r="Y36" s="789">
        <f t="shared" ref="Y36:Y41" si="21">MATCH(W36,$AQ$6:$AQ$116,0)</f>
        <v>82</v>
      </c>
      <c r="Z36" s="1027" t="str">
        <f>VLOOKUP(AA34,$S$37:$AB$41,8,0)</f>
        <v>IPE80</v>
      </c>
      <c r="AA36" s="849" t="s">
        <v>541</v>
      </c>
      <c r="AB36" s="856">
        <f t="shared" ref="AB36:AB41" si="22">MATCH(Z36,$AQ$6:$AQ$116,0)</f>
        <v>1</v>
      </c>
      <c r="AD36" s="165"/>
      <c r="AE36" s="165"/>
      <c r="AF36" s="165"/>
      <c r="AG36" s="165"/>
      <c r="AH36" s="165"/>
      <c r="AI36" s="165"/>
      <c r="AJ36" s="165"/>
      <c r="AK36" s="165"/>
      <c r="AL36" s="165"/>
      <c r="AM36" s="165"/>
      <c r="AN36" s="31"/>
      <c r="AO36" s="1395">
        <v>77630000</v>
      </c>
      <c r="AP36" s="1382">
        <v>675000</v>
      </c>
      <c r="AQ36" s="1382" t="s">
        <v>789</v>
      </c>
      <c r="AR36" s="1383">
        <v>60.288000000000011</v>
      </c>
      <c r="AS36" s="32">
        <f t="shared" si="17"/>
        <v>675000</v>
      </c>
      <c r="AT36" s="754">
        <f t="shared" si="18"/>
        <v>77630000</v>
      </c>
      <c r="AV36" s="1778">
        <f t="shared" si="0"/>
        <v>10240000000</v>
      </c>
      <c r="AW36" s="1778">
        <f t="shared" si="1"/>
        <v>25600000</v>
      </c>
      <c r="AX36" s="1779" t="str">
        <f t="shared" si="19"/>
        <v>GL240*800</v>
      </c>
      <c r="AY36" s="1780">
        <v>240</v>
      </c>
      <c r="AZ36" s="1780">
        <v>800</v>
      </c>
      <c r="BA36" s="1781">
        <f t="shared" si="3"/>
        <v>192000</v>
      </c>
      <c r="BB36" s="1780">
        <v>380</v>
      </c>
      <c r="BC36" s="1782">
        <f t="shared" si="4"/>
        <v>72.959999999999994</v>
      </c>
      <c r="BD36" s="1783">
        <f t="shared" si="5"/>
        <v>25600000</v>
      </c>
      <c r="BE36" s="1783">
        <f t="shared" si="6"/>
        <v>10240000000</v>
      </c>
    </row>
    <row r="37" spans="2:57" ht="12.75" x14ac:dyDescent="0.2">
      <c r="B37" s="1049" t="s">
        <v>700</v>
      </c>
      <c r="C37" s="1050"/>
      <c r="D37" s="1051" t="str">
        <f>IF(D$17=3,(D28*D$19),"nvt")</f>
        <v>nvt</v>
      </c>
      <c r="E37" s="1052" t="str">
        <f>IF(D$13=3,"kN/m","")</f>
        <v/>
      </c>
      <c r="F37" s="1053"/>
      <c r="G37" s="1051" t="str">
        <f>IF(G$17=3,(G28*G$19),"nvt")</f>
        <v>nvt</v>
      </c>
      <c r="H37" s="1052" t="str">
        <f>IF(G$13=3,"kN/m","")</f>
        <v/>
      </c>
      <c r="I37" s="1053"/>
      <c r="J37" s="1051" t="str">
        <f>IF(J$17=3,(J28*J$19),"nvt")</f>
        <v>nvt</v>
      </c>
      <c r="K37" s="1384" t="str">
        <f>IF(J$13=3,"kN/m","")</f>
        <v/>
      </c>
      <c r="L37" s="14"/>
      <c r="M37" s="8"/>
      <c r="N37" s="22"/>
      <c r="O37" s="22"/>
      <c r="P37" s="22"/>
      <c r="Q37" s="22"/>
      <c r="S37" s="1409" t="s">
        <v>868</v>
      </c>
      <c r="T37" s="1401" t="str">
        <f>IF(U35&gt;$AP$6,(VLOOKUP(U35,$AP$6:$AT$24,2,TRUE)),$AQ$6)</f>
        <v>IPE80</v>
      </c>
      <c r="U37" s="1402" t="s">
        <v>541</v>
      </c>
      <c r="V37" s="1403">
        <f t="shared" si="20"/>
        <v>1</v>
      </c>
      <c r="W37" s="1401" t="str">
        <f>IF(X35&gt;$AP$6,(VLOOKUP(X35,$AP$6:$AT$24,2,TRUE)),$AQ$6)</f>
        <v>IPE80</v>
      </c>
      <c r="X37" s="1402" t="s">
        <v>541</v>
      </c>
      <c r="Y37" s="1403">
        <f t="shared" si="21"/>
        <v>1</v>
      </c>
      <c r="Z37" s="1401" t="str">
        <f>IF(AA35&gt;$AP$6,(VLOOKUP(AA35,$AP$6:$AT$24,2,TRUE)),$AQ$6)</f>
        <v>IPE80</v>
      </c>
      <c r="AA37" s="1402" t="s">
        <v>541</v>
      </c>
      <c r="AB37" s="1404">
        <f t="shared" si="22"/>
        <v>1</v>
      </c>
      <c r="AD37" s="28"/>
      <c r="AE37" s="28"/>
      <c r="AF37" s="28"/>
      <c r="AG37" s="28"/>
      <c r="AH37" s="28"/>
      <c r="AI37" s="28"/>
      <c r="AJ37" s="28"/>
      <c r="AK37" s="28"/>
      <c r="AL37" s="28"/>
      <c r="AM37" s="28"/>
      <c r="AN37" s="31"/>
      <c r="AO37" s="1395">
        <v>104550000</v>
      </c>
      <c r="AP37" s="1382">
        <v>836000</v>
      </c>
      <c r="AQ37" s="1382" t="s">
        <v>791</v>
      </c>
      <c r="AR37" s="1383">
        <v>68.138000000000005</v>
      </c>
      <c r="AS37" s="32">
        <f t="shared" si="17"/>
        <v>836000</v>
      </c>
      <c r="AT37" s="754">
        <f t="shared" si="18"/>
        <v>104550000</v>
      </c>
      <c r="AV37" s="1778">
        <f t="shared" si="0"/>
        <v>10935000000</v>
      </c>
      <c r="AW37" s="1778">
        <f t="shared" si="1"/>
        <v>24300000</v>
      </c>
      <c r="AX37" s="1779" t="str">
        <f t="shared" si="19"/>
        <v>GL180*900</v>
      </c>
      <c r="AY37" s="1780">
        <v>180</v>
      </c>
      <c r="AZ37" s="1780">
        <v>900</v>
      </c>
      <c r="BA37" s="1781">
        <f t="shared" si="3"/>
        <v>162000</v>
      </c>
      <c r="BB37" s="1780">
        <v>380</v>
      </c>
      <c r="BC37" s="1782">
        <f t="shared" si="4"/>
        <v>61.559999999999995</v>
      </c>
      <c r="BD37" s="1783">
        <f t="shared" si="5"/>
        <v>24300000</v>
      </c>
      <c r="BE37" s="1783">
        <f t="shared" si="6"/>
        <v>10935000000</v>
      </c>
    </row>
    <row r="38" spans="2:57" ht="12.75" thickBot="1" x14ac:dyDescent="0.25">
      <c r="B38" s="1059" t="s">
        <v>703</v>
      </c>
      <c r="C38" s="1060"/>
      <c r="D38" s="1056">
        <f>(1/8)*MAX(D35:D37)*(D$11^2)</f>
        <v>0</v>
      </c>
      <c r="E38" s="1061" t="s">
        <v>92</v>
      </c>
      <c r="F38" s="1060"/>
      <c r="G38" s="1056">
        <f>(1/8)*MAX(G35:G37)*(G$11^2)</f>
        <v>0</v>
      </c>
      <c r="H38" s="1061" t="s">
        <v>92</v>
      </c>
      <c r="I38" s="1060"/>
      <c r="J38" s="1056">
        <f>(1/8)*MAX(J35:J37)*(J$11^2)</f>
        <v>0</v>
      </c>
      <c r="K38" s="1061" t="s">
        <v>92</v>
      </c>
      <c r="S38" s="1409" t="s">
        <v>869</v>
      </c>
      <c r="T38" s="1401" t="str">
        <f>IF(U35&gt;$AP$29,(VLOOKUP(U35,$AP$29:$AT$53,2,TRUE)),$AQ$29)</f>
        <v>HEA100</v>
      </c>
      <c r="U38" s="1402" t="s">
        <v>541</v>
      </c>
      <c r="V38" s="1403">
        <f t="shared" si="20"/>
        <v>24</v>
      </c>
      <c r="W38" s="1401" t="str">
        <f>IF(X35&gt;$AP$29,(VLOOKUP(X35,$AP$29:$AT$53,2,TRUE)),$AQ$29)</f>
        <v>HEA100</v>
      </c>
      <c r="X38" s="1402" t="s">
        <v>541</v>
      </c>
      <c r="Y38" s="1403">
        <f t="shared" si="21"/>
        <v>24</v>
      </c>
      <c r="Z38" s="1401" t="str">
        <f>IF(AA35&gt;$AP$29,(VLOOKUP(AA35,$AP$29:$AT$53,2,TRUE)),$AQ$29)</f>
        <v>HEA100</v>
      </c>
      <c r="AA38" s="1402" t="s">
        <v>541</v>
      </c>
      <c r="AB38" s="1404">
        <f t="shared" si="22"/>
        <v>24</v>
      </c>
      <c r="AD38" s="1648"/>
      <c r="AE38" s="36"/>
      <c r="AF38" s="28"/>
      <c r="AG38" s="28"/>
      <c r="AH38" s="28"/>
      <c r="AI38" s="28"/>
      <c r="AJ38" s="28"/>
      <c r="AK38" s="28"/>
      <c r="AL38" s="28"/>
      <c r="AM38" s="28"/>
      <c r="AN38" s="31"/>
      <c r="AO38" s="1395">
        <v>136730000</v>
      </c>
      <c r="AP38" s="1382">
        <v>1010000</v>
      </c>
      <c r="AQ38" s="1382" t="s">
        <v>793</v>
      </c>
      <c r="AR38" s="1383">
        <v>76.380500000000012</v>
      </c>
      <c r="AS38" s="32">
        <f t="shared" si="17"/>
        <v>1010000</v>
      </c>
      <c r="AT38" s="754">
        <f t="shared" si="18"/>
        <v>136730000</v>
      </c>
      <c r="AV38" s="1778">
        <f t="shared" si="0"/>
        <v>12149999999.999998</v>
      </c>
      <c r="AW38" s="1778">
        <f t="shared" si="1"/>
        <v>26999999.999999996</v>
      </c>
      <c r="AX38" s="1779" t="str">
        <f t="shared" si="19"/>
        <v>GL200*900</v>
      </c>
      <c r="AY38" s="1780">
        <v>200</v>
      </c>
      <c r="AZ38" s="1780">
        <v>900</v>
      </c>
      <c r="BA38" s="1781">
        <f t="shared" si="3"/>
        <v>180000</v>
      </c>
      <c r="BB38" s="1780">
        <v>380</v>
      </c>
      <c r="BC38" s="1782">
        <f t="shared" si="4"/>
        <v>68.399999999999991</v>
      </c>
      <c r="BD38" s="1783">
        <f t="shared" si="5"/>
        <v>26999999.999999996</v>
      </c>
      <c r="BE38" s="1783">
        <f t="shared" si="6"/>
        <v>12149999999.999998</v>
      </c>
    </row>
    <row r="39" spans="2:57" ht="12.75" thickBot="1" x14ac:dyDescent="0.25">
      <c r="B39" s="1019" t="s">
        <v>709</v>
      </c>
      <c r="C39" s="1029"/>
      <c r="D39" s="1020"/>
      <c r="E39" s="1021"/>
      <c r="F39" s="1029"/>
      <c r="G39" s="1020"/>
      <c r="H39" s="1021"/>
      <c r="I39" s="1029"/>
      <c r="J39" s="1020"/>
      <c r="K39" s="1022"/>
      <c r="S39" s="1409" t="s">
        <v>870</v>
      </c>
      <c r="T39" s="1401" t="str">
        <f>IF(U35&gt;$AP$58,(VLOOKUP(U35,$AP$58:$AT$82,2,TRUE)),$AQ$58)</f>
        <v>HEB100</v>
      </c>
      <c r="U39" s="1402" t="s">
        <v>541</v>
      </c>
      <c r="V39" s="1403">
        <f t="shared" si="20"/>
        <v>53</v>
      </c>
      <c r="W39" s="1401" t="str">
        <f>IF(X35&gt;$AP$58,(VLOOKUP(X35,$AP$58:$AT$82,2,TRUE)),$AQ$58)</f>
        <v>HEB100</v>
      </c>
      <c r="X39" s="1402" t="s">
        <v>541</v>
      </c>
      <c r="Y39" s="1403">
        <f t="shared" si="21"/>
        <v>53</v>
      </c>
      <c r="Z39" s="1401" t="str">
        <f>IF(AA35&gt;$AP$58,(VLOOKUP(AA35,$AP$58:$AT$82,2,TRUE)),$AQ$58)</f>
        <v>HEB100</v>
      </c>
      <c r="AA39" s="1402" t="s">
        <v>541</v>
      </c>
      <c r="AB39" s="1404">
        <f t="shared" si="22"/>
        <v>53</v>
      </c>
      <c r="AD39" s="28"/>
      <c r="AE39" s="28"/>
      <c r="AF39" s="36"/>
      <c r="AG39" s="36"/>
      <c r="AH39" s="36"/>
      <c r="AI39" s="36"/>
      <c r="AJ39" s="36"/>
      <c r="AK39" s="28"/>
      <c r="AL39" s="28"/>
      <c r="AM39" s="28"/>
      <c r="AN39" s="31"/>
      <c r="AO39" s="1395">
        <v>182630000</v>
      </c>
      <c r="AP39" s="1382">
        <v>1260000</v>
      </c>
      <c r="AQ39" s="1382" t="s">
        <v>795</v>
      </c>
      <c r="AR39" s="1383">
        <v>88.3125</v>
      </c>
      <c r="AS39" s="32">
        <f t="shared" si="17"/>
        <v>1260000</v>
      </c>
      <c r="AT39" s="754">
        <f t="shared" si="18"/>
        <v>182630000</v>
      </c>
      <c r="AV39" s="1778">
        <f t="shared" si="0"/>
        <v>13365000000</v>
      </c>
      <c r="AW39" s="1778">
        <f t="shared" si="1"/>
        <v>29699999.999999996</v>
      </c>
      <c r="AX39" s="1779" t="str">
        <f t="shared" si="19"/>
        <v>GL220*900</v>
      </c>
      <c r="AY39" s="1780">
        <v>220</v>
      </c>
      <c r="AZ39" s="1780">
        <v>900</v>
      </c>
      <c r="BA39" s="1781">
        <f t="shared" si="3"/>
        <v>198000</v>
      </c>
      <c r="BB39" s="1780">
        <v>380</v>
      </c>
      <c r="BC39" s="1782">
        <f t="shared" si="4"/>
        <v>75.239999999999995</v>
      </c>
      <c r="BD39" s="1783">
        <f t="shared" si="5"/>
        <v>29699999.999999996</v>
      </c>
      <c r="BE39" s="1783">
        <f t="shared" si="6"/>
        <v>13365000000</v>
      </c>
    </row>
    <row r="40" spans="2:57" x14ac:dyDescent="0.2">
      <c r="B40" s="1013"/>
      <c r="C40" s="1874" t="s">
        <v>673</v>
      </c>
      <c r="D40" s="1875"/>
      <c r="E40" s="1876"/>
      <c r="F40" s="1874" t="s">
        <v>672</v>
      </c>
      <c r="G40" s="1875"/>
      <c r="H40" s="1876"/>
      <c r="I40" s="1874" t="s">
        <v>517</v>
      </c>
      <c r="J40" s="1875"/>
      <c r="K40" s="1876"/>
      <c r="S40" s="1409" t="s">
        <v>909</v>
      </c>
      <c r="T40" s="1401" t="str">
        <f>IF(U35&gt;$AP$87,(VLOOKUP(U35,$AP$87:$AT$99,2,TRUE)),$AQ$87)</f>
        <v>150x5-190x15-400x12</v>
      </c>
      <c r="U40" s="1402" t="s">
        <v>541</v>
      </c>
      <c r="V40" s="1403">
        <f t="shared" si="20"/>
        <v>82</v>
      </c>
      <c r="W40" s="1401" t="str">
        <f>IF(X35&gt;$AP$87,(VLOOKUP(X35,$AP$87:$AT$99,2,TRUE)),$AQ$87)</f>
        <v>150x5-190x15-400x12</v>
      </c>
      <c r="X40" s="1402" t="s">
        <v>541</v>
      </c>
      <c r="Y40" s="1403">
        <f t="shared" si="21"/>
        <v>82</v>
      </c>
      <c r="Z40" s="1401" t="str">
        <f>IF(AA35&gt;$AP$87,(VLOOKUP(AA35,$AP$87:$AT$99,2,TRUE)),$AQ$87)</f>
        <v>150x5-190x15-400x12</v>
      </c>
      <c r="AA40" s="1402" t="s">
        <v>541</v>
      </c>
      <c r="AB40" s="1404">
        <f t="shared" si="22"/>
        <v>82</v>
      </c>
      <c r="AD40" s="28"/>
      <c r="AE40" s="36"/>
      <c r="AF40" s="36"/>
      <c r="AG40" s="36"/>
      <c r="AH40" s="36"/>
      <c r="AI40" s="36"/>
      <c r="AJ40" s="36"/>
      <c r="AK40" s="28"/>
      <c r="AL40" s="28"/>
      <c r="AM40" s="28"/>
      <c r="AN40" s="31"/>
      <c r="AO40" s="1395">
        <v>229280000</v>
      </c>
      <c r="AP40" s="1382">
        <v>1480000</v>
      </c>
      <c r="AQ40" s="1382" t="s">
        <v>797</v>
      </c>
      <c r="AR40" s="1383">
        <v>97.654000000000011</v>
      </c>
      <c r="AS40" s="32">
        <f t="shared" si="17"/>
        <v>1480000</v>
      </c>
      <c r="AT40" s="754">
        <f t="shared" si="18"/>
        <v>229280000</v>
      </c>
      <c r="AV40" s="1778">
        <f t="shared" si="0"/>
        <v>14580000000</v>
      </c>
      <c r="AW40" s="1778">
        <f t="shared" si="1"/>
        <v>32400000</v>
      </c>
      <c r="AX40" s="1779" t="str">
        <f t="shared" si="19"/>
        <v>GL240*900</v>
      </c>
      <c r="AY40" s="1780">
        <v>240</v>
      </c>
      <c r="AZ40" s="1780">
        <v>900</v>
      </c>
      <c r="BA40" s="1781">
        <f t="shared" si="3"/>
        <v>216000</v>
      </c>
      <c r="BB40" s="1780">
        <v>380</v>
      </c>
      <c r="BC40" s="1782">
        <f t="shared" si="4"/>
        <v>82.08</v>
      </c>
      <c r="BD40" s="1783">
        <f t="shared" si="5"/>
        <v>32400000</v>
      </c>
      <c r="BE40" s="1783">
        <f t="shared" si="6"/>
        <v>14580000000</v>
      </c>
    </row>
    <row r="41" spans="2:57" x14ac:dyDescent="0.2">
      <c r="B41" s="1038" t="s">
        <v>670</v>
      </c>
      <c r="C41" s="1011"/>
      <c r="D41" s="197">
        <f>'01_ALGEMEEN'!$P103</f>
        <v>8.6084800000000001</v>
      </c>
      <c r="E41" s="18" t="s">
        <v>16</v>
      </c>
      <c r="F41" s="1011"/>
      <c r="G41" s="197">
        <f>'01_ALGEMEEN'!$P148</f>
        <v>9.3584800000000001</v>
      </c>
      <c r="H41" s="18" t="s">
        <v>16</v>
      </c>
      <c r="I41" s="1011"/>
      <c r="J41" s="197">
        <f>'01_ALGEMEEN'!$P193</f>
        <v>8.5440000000000005</v>
      </c>
      <c r="K41" s="18" t="s">
        <v>16</v>
      </c>
      <c r="S41" s="1409" t="s">
        <v>910</v>
      </c>
      <c r="T41" s="1401" t="str">
        <f>IF(U35&gt;$AP$104,(VLOOKUP(U35,$AP$104:$AT$116,2,TRUE)),$AQ$104)</f>
        <v>HEB140-340x10</v>
      </c>
      <c r="U41" s="1402" t="s">
        <v>541</v>
      </c>
      <c r="V41" s="1403">
        <f t="shared" si="20"/>
        <v>99</v>
      </c>
      <c r="W41" s="1401" t="str">
        <f>IF(X35&gt;$AP$104,(VLOOKUP(X35,$AP$104:$AT$116,2,TRUE)),$AQ$104)</f>
        <v>HEB140-340x10</v>
      </c>
      <c r="X41" s="1402" t="s">
        <v>541</v>
      </c>
      <c r="Y41" s="1403">
        <f t="shared" si="21"/>
        <v>99</v>
      </c>
      <c r="Z41" s="1401" t="str">
        <f>IF(AA35&gt;$AP$104,(VLOOKUP(AA35,$AP$104:$AT$116,2,TRUE)),$AQ$104)</f>
        <v>HEB140-340x10</v>
      </c>
      <c r="AA41" s="1402" t="s">
        <v>541</v>
      </c>
      <c r="AB41" s="1404">
        <f t="shared" si="22"/>
        <v>99</v>
      </c>
      <c r="AD41" s="28"/>
      <c r="AE41" s="36"/>
      <c r="AF41" s="789"/>
      <c r="AG41" s="28"/>
      <c r="AH41" s="28"/>
      <c r="AI41" s="28"/>
      <c r="AJ41" s="28"/>
      <c r="AK41" s="28"/>
      <c r="AL41" s="28"/>
      <c r="AM41" s="28"/>
      <c r="AN41" s="31"/>
      <c r="AO41" s="1395">
        <v>276930000</v>
      </c>
      <c r="AP41" s="1382">
        <v>1680000</v>
      </c>
      <c r="AQ41" s="1382" t="s">
        <v>799</v>
      </c>
      <c r="AR41" s="1383">
        <v>104.7975</v>
      </c>
      <c r="AS41" s="32">
        <f t="shared" si="17"/>
        <v>1680000</v>
      </c>
      <c r="AT41" s="754">
        <f t="shared" si="18"/>
        <v>276930000</v>
      </c>
    </row>
    <row r="42" spans="2:57" x14ac:dyDescent="0.2">
      <c r="B42" s="1039"/>
      <c r="S42" s="1408" t="s">
        <v>711</v>
      </c>
      <c r="T42" s="27"/>
      <c r="U42" s="751">
        <f>(5*MAX($D$35:$D$37)*(1000*$D$12)^4/(384*U32*0.004*$D$12*1000))</f>
        <v>0</v>
      </c>
      <c r="V42" s="193" t="s">
        <v>356</v>
      </c>
      <c r="W42" s="27"/>
      <c r="X42" s="751">
        <f>(5*MAX($G$35:$G$37)*(1000*$G$12)^4/(384*X32*0.004*$G$12*1000))</f>
        <v>0</v>
      </c>
      <c r="Y42" s="193" t="s">
        <v>356</v>
      </c>
      <c r="Z42" s="27"/>
      <c r="AA42" s="751">
        <f>(5*MAX($J$35:$J$37)*(1000*$J$12)^4/(384*AA32*0.004*$J$12*1000))</f>
        <v>0</v>
      </c>
      <c r="AB42" s="193" t="s">
        <v>356</v>
      </c>
      <c r="AD42" s="28"/>
      <c r="AE42" s="36"/>
      <c r="AF42" s="789"/>
      <c r="AG42" s="28"/>
      <c r="AH42" s="28"/>
      <c r="AI42" s="28"/>
      <c r="AJ42" s="28"/>
      <c r="AK42" s="28"/>
      <c r="AL42" s="28"/>
      <c r="AM42" s="28"/>
      <c r="AN42" s="31"/>
      <c r="AO42" s="1395">
        <v>330900000</v>
      </c>
      <c r="AP42" s="1382">
        <v>1890000</v>
      </c>
      <c r="AQ42" s="1382" t="s">
        <v>800</v>
      </c>
      <c r="AR42" s="1383">
        <v>112.09800000000001</v>
      </c>
      <c r="AS42" s="32">
        <f t="shared" si="17"/>
        <v>1890000</v>
      </c>
      <c r="AT42" s="754">
        <f t="shared" si="18"/>
        <v>330900000</v>
      </c>
    </row>
    <row r="43" spans="2:57" x14ac:dyDescent="0.2">
      <c r="B43" s="189" t="s">
        <v>707</v>
      </c>
      <c r="D43" s="197">
        <f>IF(D$17=1,(D41*D$10),"nvt")</f>
        <v>31.851376000000002</v>
      </c>
      <c r="E43" s="32" t="str">
        <f>IF(D$13=1,"kN/m","")</f>
        <v>kN/m</v>
      </c>
      <c r="G43" s="197">
        <f>IF(G$17=1,(G41*G$10),"nvt")</f>
        <v>34.626376</v>
      </c>
      <c r="H43" s="32" t="str">
        <f>IF(G$13=1,"kN/m","")</f>
        <v>kN/m</v>
      </c>
      <c r="J43" s="197">
        <f>IF(J$17=1,(J41*J$10),"nvt")</f>
        <v>31.612800000000004</v>
      </c>
      <c r="K43" s="754" t="str">
        <f>IF(J$13=1,"kN/m","")</f>
        <v>kN/m</v>
      </c>
      <c r="S43" s="1408" t="s">
        <v>540</v>
      </c>
      <c r="T43" s="1027" t="str">
        <f>VLOOKUP(U34,$S$44:$AB$48,2,0)</f>
        <v>150x5-190x15-400x12</v>
      </c>
      <c r="U43" s="849" t="s">
        <v>541</v>
      </c>
      <c r="V43" s="789">
        <f t="shared" ref="V43:V48" si="23">MATCH(T43,$AQ$6:$AQ$116,0)</f>
        <v>82</v>
      </c>
      <c r="W43" s="1027" t="str">
        <f>VLOOKUP(X34,$S$44:$AB$48,5,0)</f>
        <v>150x5-190x15-400x12</v>
      </c>
      <c r="X43" s="849" t="s">
        <v>541</v>
      </c>
      <c r="Y43" s="789">
        <f t="shared" ref="Y43:Y48" si="24">MATCH(W43,$AQ$6:$AQ$116,0)</f>
        <v>82</v>
      </c>
      <c r="Z43" s="1027" t="str">
        <f>VLOOKUP(AA34,$S$44:$AB$48,8,0)</f>
        <v>IPE80</v>
      </c>
      <c r="AA43" s="849" t="s">
        <v>541</v>
      </c>
      <c r="AB43" s="856">
        <f t="shared" ref="AB43:AB48" si="25">MATCH(Z43,$AQ$6:$AQ$116,0)</f>
        <v>1</v>
      </c>
      <c r="AD43" s="28"/>
      <c r="AE43" s="36"/>
      <c r="AF43" s="789"/>
      <c r="AG43" s="28"/>
      <c r="AH43" s="28"/>
      <c r="AI43" s="28"/>
      <c r="AJ43" s="28"/>
      <c r="AK43" s="28"/>
      <c r="AL43" s="28"/>
      <c r="AM43" s="28"/>
      <c r="AN43" s="31"/>
      <c r="AO43" s="1395">
        <v>450690000</v>
      </c>
      <c r="AP43" s="1382">
        <v>2310000</v>
      </c>
      <c r="AQ43" s="1382" t="s">
        <v>802</v>
      </c>
      <c r="AR43" s="1383">
        <v>124.815</v>
      </c>
      <c r="AS43" s="32">
        <f t="shared" si="17"/>
        <v>2310000</v>
      </c>
      <c r="AT43" s="754">
        <f t="shared" si="18"/>
        <v>450690000</v>
      </c>
    </row>
    <row r="44" spans="2:57" x14ac:dyDescent="0.2">
      <c r="B44" s="189" t="s">
        <v>704</v>
      </c>
      <c r="D44" s="197" t="str">
        <f>IF(D$17=2,(D41*D$10),"nvt")</f>
        <v>nvt</v>
      </c>
      <c r="E44" s="32" t="str">
        <f>IF(D$13=2,"kN/m","")</f>
        <v/>
      </c>
      <c r="G44" s="197" t="str">
        <f>IF(G$17=2,(G41*G$10),"nvt")</f>
        <v>nvt</v>
      </c>
      <c r="H44" s="32" t="str">
        <f>IF(G$13=2,"kN/m","")</f>
        <v/>
      </c>
      <c r="J44" s="197" t="str">
        <f>IF(J$17=2,(J41*J$10),"nvt")</f>
        <v>nvt</v>
      </c>
      <c r="K44" s="754" t="str">
        <f>IF(J$13=2,"kN/m","")</f>
        <v/>
      </c>
      <c r="S44" s="1409" t="s">
        <v>868</v>
      </c>
      <c r="T44" s="1401" t="str">
        <f>IF(U42&gt;$AO$6,VLOOKUP(U42,$AO$6:$AQ$24,3,TRUE),$AQ$6)</f>
        <v>IPE80</v>
      </c>
      <c r="U44" s="1402" t="s">
        <v>541</v>
      </c>
      <c r="V44" s="1403">
        <f t="shared" si="23"/>
        <v>1</v>
      </c>
      <c r="W44" s="1401" t="str">
        <f>IF(X42&gt;$AO$6,VLOOKUP(X42,$AO$6:$AQ$24,3,TRUE),$AQ$6)</f>
        <v>IPE80</v>
      </c>
      <c r="X44" s="1402" t="s">
        <v>541</v>
      </c>
      <c r="Y44" s="1403">
        <f t="shared" si="24"/>
        <v>1</v>
      </c>
      <c r="Z44" s="1401" t="str">
        <f>IF(AA42&gt;$AO$6,VLOOKUP(AA42,$AO$6:$AQ$24,3,TRUE),$AQ$6)</f>
        <v>IPE80</v>
      </c>
      <c r="AA44" s="1402" t="s">
        <v>541</v>
      </c>
      <c r="AB44" s="1404">
        <f t="shared" si="25"/>
        <v>1</v>
      </c>
      <c r="AD44" s="28"/>
      <c r="AE44" s="36"/>
      <c r="AF44" s="789"/>
      <c r="AG44" s="28"/>
      <c r="AH44" s="28"/>
      <c r="AI44" s="28"/>
      <c r="AJ44" s="28"/>
      <c r="AK44" s="28"/>
      <c r="AL44" s="28"/>
      <c r="AM44" s="28"/>
      <c r="AN44" s="14"/>
      <c r="AO44" s="1395">
        <v>637220000</v>
      </c>
      <c r="AP44" s="1382">
        <v>2900000</v>
      </c>
      <c r="AQ44" s="1382" t="s">
        <v>805</v>
      </c>
      <c r="AR44" s="1383">
        <v>139.72999999999999</v>
      </c>
      <c r="AS44" s="32">
        <f t="shared" si="17"/>
        <v>2900000</v>
      </c>
      <c r="AT44" s="754">
        <f t="shared" si="18"/>
        <v>637220000</v>
      </c>
    </row>
    <row r="45" spans="2:57" x14ac:dyDescent="0.2">
      <c r="B45" s="189" t="s">
        <v>705</v>
      </c>
      <c r="C45" s="1011"/>
      <c r="D45" s="197" t="str">
        <f>IF(D$17=3,(D41*D$12),"nvt")</f>
        <v>nvt</v>
      </c>
      <c r="E45" s="32" t="str">
        <f>IF(D$13=3,"kN/m","")</f>
        <v/>
      </c>
      <c r="F45" s="1011"/>
      <c r="G45" s="197" t="str">
        <f>IF(G$17=3,(G41*G$12),"nvt")</f>
        <v>nvt</v>
      </c>
      <c r="H45" s="32" t="str">
        <f>IF(G$13=3,"kN/m","")</f>
        <v/>
      </c>
      <c r="I45" s="1011"/>
      <c r="J45" s="197" t="str">
        <f>IF(J$17=3,(J41*J$12),"nvt")</f>
        <v>nvt</v>
      </c>
      <c r="K45" s="754" t="str">
        <f>IF(J$13=3,"kN/m","")</f>
        <v/>
      </c>
      <c r="S45" s="1409" t="s">
        <v>869</v>
      </c>
      <c r="T45" s="1401" t="str">
        <f>IF(U42&gt;$AO$29,VLOOKUP(U42,$AO$29:$AQ$53,3,TRUE),$AQ$29)</f>
        <v>HEA100</v>
      </c>
      <c r="U45" s="1402" t="s">
        <v>541</v>
      </c>
      <c r="V45" s="1403">
        <f t="shared" si="23"/>
        <v>24</v>
      </c>
      <c r="W45" s="1401" t="str">
        <f>IF(X42&gt;$AO$29,VLOOKUP(X42,$AO$29:$AQ$53,3,TRUE),$AQ$29)</f>
        <v>HEA100</v>
      </c>
      <c r="X45" s="1402" t="s">
        <v>541</v>
      </c>
      <c r="Y45" s="1403">
        <f t="shared" si="24"/>
        <v>24</v>
      </c>
      <c r="Z45" s="1401" t="str">
        <f>IF(AA42&gt;$AO$29,VLOOKUP(AA42,$AO$29:$AQ$53,3,TRUE),$AQ$29)</f>
        <v>HEA100</v>
      </c>
      <c r="AA45" s="1402" t="s">
        <v>541</v>
      </c>
      <c r="AB45" s="1404">
        <f t="shared" si="25"/>
        <v>24</v>
      </c>
      <c r="AD45" s="28"/>
      <c r="AE45" s="36"/>
      <c r="AF45" s="789"/>
      <c r="AG45" s="28"/>
      <c r="AH45" s="28"/>
      <c r="AI45" s="28"/>
      <c r="AJ45" s="28"/>
      <c r="AK45" s="28"/>
      <c r="AL45" s="28"/>
      <c r="AM45" s="28"/>
      <c r="AN45" s="14"/>
      <c r="AO45" s="1395">
        <v>869750000</v>
      </c>
      <c r="AP45" s="1382">
        <v>3550000</v>
      </c>
      <c r="AQ45" s="1382" t="s">
        <v>807</v>
      </c>
      <c r="AR45" s="1383">
        <v>155.03749999999999</v>
      </c>
      <c r="AS45" s="32">
        <f t="shared" si="17"/>
        <v>3550000</v>
      </c>
      <c r="AT45" s="754">
        <f t="shared" si="18"/>
        <v>869750000</v>
      </c>
    </row>
    <row r="46" spans="2:57" x14ac:dyDescent="0.2">
      <c r="B46" s="1054" t="s">
        <v>701</v>
      </c>
      <c r="C46" s="1055"/>
      <c r="D46" s="1056">
        <f>(1/8)*MAX(D43:D45)*(D$11^2)</f>
        <v>398.1422</v>
      </c>
      <c r="E46" s="1057" t="s">
        <v>92</v>
      </c>
      <c r="F46" s="1055"/>
      <c r="G46" s="1056">
        <f>(1/8)*MAX(G43:G45)*(G$11^2)</f>
        <v>432.8297</v>
      </c>
      <c r="H46" s="1057" t="s">
        <v>92</v>
      </c>
      <c r="I46" s="1055"/>
      <c r="J46" s="1056">
        <f>(1/8)*MAX(J43:J45)*(J$11^2)</f>
        <v>395.16</v>
      </c>
      <c r="K46" s="1058" t="s">
        <v>92</v>
      </c>
      <c r="S46" s="1409" t="s">
        <v>870</v>
      </c>
      <c r="T46" s="1401" t="str">
        <f>IF(U42&gt;$AO$58,VLOOKUP(U42,$AO$58:$AQ$82,3,TRUE),$AQ$58)</f>
        <v>HEB100</v>
      </c>
      <c r="U46" s="1402" t="s">
        <v>541</v>
      </c>
      <c r="V46" s="1403">
        <f t="shared" si="23"/>
        <v>53</v>
      </c>
      <c r="W46" s="1401" t="str">
        <f>IF(X42&gt;$AO$58,VLOOKUP(X42,$AO$58:$AQ$82,3,TRUE),$AQ$58)</f>
        <v>HEB100</v>
      </c>
      <c r="X46" s="1402" t="s">
        <v>541</v>
      </c>
      <c r="Y46" s="1403">
        <f t="shared" si="24"/>
        <v>53</v>
      </c>
      <c r="Z46" s="1401" t="str">
        <f>IF(AA42&gt;$AO$58,VLOOKUP(AA42,$AO$58:$AQ$82,3,TRUE),$AQ$58)</f>
        <v>HEB100</v>
      </c>
      <c r="AA46" s="1402" t="s">
        <v>541</v>
      </c>
      <c r="AB46" s="1404">
        <f t="shared" si="25"/>
        <v>53</v>
      </c>
      <c r="AD46" s="28"/>
      <c r="AE46" s="28"/>
      <c r="AF46" s="28"/>
      <c r="AG46" s="28"/>
      <c r="AH46" s="28"/>
      <c r="AI46" s="28"/>
      <c r="AJ46" s="28"/>
      <c r="AK46" s="28"/>
      <c r="AL46" s="28"/>
      <c r="AM46" s="28"/>
      <c r="AN46" s="14"/>
      <c r="AO46" s="1395">
        <v>1119320000</v>
      </c>
      <c r="AP46" s="1382">
        <v>4150000</v>
      </c>
      <c r="AQ46" s="1382" t="s">
        <v>809</v>
      </c>
      <c r="AR46" s="1383">
        <v>166.26300000000003</v>
      </c>
      <c r="AS46" s="32">
        <f t="shared" si="17"/>
        <v>4150000</v>
      </c>
      <c r="AT46" s="754">
        <f t="shared" si="18"/>
        <v>1119320000</v>
      </c>
    </row>
    <row r="47" spans="2:57" x14ac:dyDescent="0.2">
      <c r="B47" s="199"/>
      <c r="C47" s="1028"/>
      <c r="D47" s="200"/>
      <c r="E47" s="740"/>
      <c r="F47" s="1028"/>
      <c r="G47" s="200"/>
      <c r="H47" s="848"/>
      <c r="I47" s="1028"/>
      <c r="J47" s="200"/>
      <c r="K47" s="923"/>
      <c r="S47" s="1409" t="s">
        <v>909</v>
      </c>
      <c r="T47" s="1401" t="str">
        <f>IF(U42&gt;$AO$87,VLOOKUP(U42,$AO$87:$AQ$99,3,TRUE),$AQ$87)</f>
        <v>150x5-190x15-400x12</v>
      </c>
      <c r="U47" s="1402" t="s">
        <v>541</v>
      </c>
      <c r="V47" s="1403">
        <f t="shared" si="23"/>
        <v>82</v>
      </c>
      <c r="W47" s="1401" t="str">
        <f>IF(X42&gt;$AO$87,VLOOKUP(X42,$AO$87:$AQ$99,3,TRUE),$AQ$87)</f>
        <v>150x5-190x15-400x12</v>
      </c>
      <c r="X47" s="1402" t="s">
        <v>541</v>
      </c>
      <c r="Y47" s="1403">
        <f t="shared" si="24"/>
        <v>82</v>
      </c>
      <c r="Z47" s="1401" t="str">
        <f>IF(AA42&gt;$AO$87,VLOOKUP(AA42,$AO$87:$AQ$99,3,TRUE),$AQ$87)</f>
        <v>150x5-190x15-400x12</v>
      </c>
      <c r="AA47" s="1402" t="s">
        <v>541</v>
      </c>
      <c r="AB47" s="1404">
        <f t="shared" si="25"/>
        <v>82</v>
      </c>
      <c r="AD47" s="28"/>
      <c r="AE47" s="36"/>
      <c r="AF47" s="28"/>
      <c r="AG47" s="28"/>
      <c r="AH47" s="28"/>
      <c r="AI47" s="28"/>
      <c r="AJ47" s="28"/>
      <c r="AK47" s="28"/>
      <c r="AL47" s="28"/>
      <c r="AM47" s="28"/>
      <c r="AN47" s="14"/>
      <c r="AO47" s="1395">
        <v>1412080000</v>
      </c>
      <c r="AP47" s="1382">
        <v>4790000</v>
      </c>
      <c r="AQ47" s="1382" t="s">
        <v>811</v>
      </c>
      <c r="AR47" s="1383">
        <v>177.80250000000001</v>
      </c>
      <c r="AS47" s="32">
        <f t="shared" si="17"/>
        <v>4790000</v>
      </c>
      <c r="AT47" s="754">
        <f t="shared" si="18"/>
        <v>1412080000</v>
      </c>
    </row>
    <row r="48" spans="2:57" x14ac:dyDescent="0.2">
      <c r="B48" s="189" t="s">
        <v>698</v>
      </c>
      <c r="D48" s="157"/>
      <c r="E48" s="32"/>
      <c r="G48" s="157"/>
      <c r="H48" s="32"/>
      <c r="J48" s="157"/>
      <c r="K48" s="32"/>
      <c r="S48" s="1409" t="s">
        <v>910</v>
      </c>
      <c r="T48" s="1401" t="str">
        <f>IF(U42&gt;$AO$104,VLOOKUP(U42,$AO$104:$AQ$116,3,TRUE),$AQ$104)</f>
        <v>HEB140-340x10</v>
      </c>
      <c r="U48" s="1402" t="s">
        <v>541</v>
      </c>
      <c r="V48" s="1403">
        <f t="shared" si="23"/>
        <v>99</v>
      </c>
      <c r="W48" s="1401" t="str">
        <f>IF(X42&gt;$AO$104,VLOOKUP(X42,$AO$104:$AQ$116,3,TRUE),$AQ$104)</f>
        <v>HEB140-340x10</v>
      </c>
      <c r="X48" s="1402" t="s">
        <v>541</v>
      </c>
      <c r="Y48" s="1403">
        <f t="shared" si="24"/>
        <v>99</v>
      </c>
      <c r="Z48" s="1401" t="str">
        <f>IF(AA42&gt;$AO$104,VLOOKUP(AA42,$AO$104:$AQ$116,3,TRUE),$AQ$104)</f>
        <v>HEB140-340x10</v>
      </c>
      <c r="AA48" s="1402" t="s">
        <v>541</v>
      </c>
      <c r="AB48" s="1404">
        <f t="shared" si="25"/>
        <v>99</v>
      </c>
      <c r="AD48" s="36"/>
      <c r="AE48" s="36"/>
      <c r="AF48" s="36"/>
      <c r="AG48" s="36"/>
      <c r="AH48" s="36"/>
      <c r="AI48" s="36"/>
      <c r="AJ48" s="36"/>
      <c r="AK48" s="36"/>
      <c r="AL48" s="36"/>
      <c r="AM48" s="28"/>
      <c r="AN48" s="14"/>
      <c r="AO48" s="1395">
        <v>1751780000</v>
      </c>
      <c r="AP48" s="1382">
        <v>5470000</v>
      </c>
      <c r="AQ48" s="1382" t="s">
        <v>813</v>
      </c>
      <c r="AR48" s="1383">
        <v>189.65600000000003</v>
      </c>
      <c r="AS48" s="32">
        <f t="shared" si="17"/>
        <v>5470000</v>
      </c>
      <c r="AT48" s="754">
        <f t="shared" si="18"/>
        <v>1751780000</v>
      </c>
    </row>
    <row r="49" spans="1:46" x14ac:dyDescent="0.2">
      <c r="B49" s="189" t="s">
        <v>697</v>
      </c>
      <c r="D49" s="186" t="str">
        <f>IF(D$17=2,2,"nvt")</f>
        <v>nvt</v>
      </c>
      <c r="E49" s="32" t="str">
        <f>IF(D$13=2,"kN/m","")</f>
        <v/>
      </c>
      <c r="G49" s="186" t="str">
        <f>IF(G$17=2,2,"nvt")</f>
        <v>nvt</v>
      </c>
      <c r="H49" s="32" t="str">
        <f>IF(G$13=2,"kN/m","")</f>
        <v/>
      </c>
      <c r="J49" s="186" t="str">
        <f>IF(J$17=2,2,"nvt")</f>
        <v>nvt</v>
      </c>
      <c r="K49" s="754" t="str">
        <f>IF(J$13=2,"kN/m","")</f>
        <v/>
      </c>
      <c r="L49" s="14"/>
      <c r="S49" s="1408" t="s">
        <v>357</v>
      </c>
      <c r="T49" s="1027" t="str">
        <f>IF(V49=V36,T36,IF(V49=V43,T43))</f>
        <v>150x5-190x15-400x12</v>
      </c>
      <c r="U49" s="27" t="s">
        <v>541</v>
      </c>
      <c r="V49" s="789">
        <f>MAX(V36,V43)</f>
        <v>82</v>
      </c>
      <c r="W49" s="1027" t="str">
        <f>IF(Y49=Y36,W36,IF(Y49=Y43,W43))</f>
        <v>150x5-190x15-400x12</v>
      </c>
      <c r="X49" s="27" t="s">
        <v>541</v>
      </c>
      <c r="Y49" s="789">
        <f>MAX(Y36,Y43)</f>
        <v>82</v>
      </c>
      <c r="Z49" s="1027" t="str">
        <f>IF(AB49=AB36,Z36,IF(AB49=AB43,Z43))</f>
        <v>IPE80</v>
      </c>
      <c r="AA49" s="27" t="s">
        <v>541</v>
      </c>
      <c r="AB49" s="856">
        <f>MAX(AB36,AB43)</f>
        <v>1</v>
      </c>
      <c r="AD49" s="28"/>
      <c r="AE49" s="28"/>
      <c r="AF49" s="28"/>
      <c r="AG49" s="789"/>
      <c r="AH49" s="1649"/>
      <c r="AI49" s="1650"/>
      <c r="AJ49" s="789"/>
      <c r="AK49" s="28"/>
      <c r="AL49" s="1650"/>
      <c r="AM49" s="28"/>
      <c r="AN49" s="14"/>
      <c r="AO49" s="1395">
        <v>2153010000</v>
      </c>
      <c r="AP49" s="1382">
        <v>6240000</v>
      </c>
      <c r="AQ49" s="1382" t="s">
        <v>815</v>
      </c>
      <c r="AR49" s="1383">
        <v>204.49250000000001</v>
      </c>
      <c r="AS49" s="32">
        <f t="shared" si="17"/>
        <v>6240000</v>
      </c>
      <c r="AT49" s="754">
        <f t="shared" si="18"/>
        <v>2153010000</v>
      </c>
    </row>
    <row r="50" spans="1:46" x14ac:dyDescent="0.2">
      <c r="B50" s="1049" t="s">
        <v>706</v>
      </c>
      <c r="C50" s="1050"/>
      <c r="D50" s="1051" t="str">
        <f>IF(D$17=3,(D41*D$19),"nvt")</f>
        <v>nvt</v>
      </c>
      <c r="E50" s="1052" t="str">
        <f>IF(D$13=3,"kN/m","")</f>
        <v/>
      </c>
      <c r="F50" s="1053"/>
      <c r="G50" s="1051" t="str">
        <f>IF(G$17=3,(G41*G$19),"nvt")</f>
        <v>nvt</v>
      </c>
      <c r="H50" s="1052" t="str">
        <f>IF(G$13=3,"kN/m","")</f>
        <v/>
      </c>
      <c r="I50" s="1053"/>
      <c r="J50" s="1051" t="str">
        <f>IF(J$17=3,(J41*J$19),"nvt")</f>
        <v>nvt</v>
      </c>
      <c r="K50" s="1384" t="str">
        <f>IF(J$13=3,"kN/m","")</f>
        <v/>
      </c>
      <c r="L50" s="14"/>
      <c r="S50" s="189" t="s">
        <v>542</v>
      </c>
      <c r="T50" s="798"/>
      <c r="U50" s="751">
        <f>VLOOKUP(T49,$AQ$6:$AR$116,2,0)</f>
        <v>71.827500000000001</v>
      </c>
      <c r="V50" s="192" t="s">
        <v>66</v>
      </c>
      <c r="W50" s="157"/>
      <c r="X50" s="751">
        <f>VLOOKUP(W49,$AQ$6:$AR$116,2,0)</f>
        <v>71.827500000000001</v>
      </c>
      <c r="Y50" s="33" t="s">
        <v>66</v>
      </c>
      <c r="Z50" s="798"/>
      <c r="AA50" s="751">
        <f>VLOOKUP(Z49,$AQ$6:$AR$116,2,0)</f>
        <v>5.9817000000000009</v>
      </c>
      <c r="AB50" s="192" t="s">
        <v>66</v>
      </c>
      <c r="AD50" s="28"/>
      <c r="AE50" s="28"/>
      <c r="AF50" s="28"/>
      <c r="AG50" s="789"/>
      <c r="AH50" s="1649"/>
      <c r="AI50" s="1650"/>
      <c r="AJ50" s="789"/>
      <c r="AK50" s="28"/>
      <c r="AL50" s="1650"/>
      <c r="AM50" s="28"/>
      <c r="AN50" s="14"/>
      <c r="AO50" s="1395">
        <v>3034420000</v>
      </c>
      <c r="AP50" s="1382">
        <v>7680000</v>
      </c>
      <c r="AQ50" s="1382" t="s">
        <v>817</v>
      </c>
      <c r="AR50" s="1383">
        <v>224.35300000000004</v>
      </c>
      <c r="AS50" s="32">
        <f t="shared" si="17"/>
        <v>7680000</v>
      </c>
      <c r="AT50" s="754">
        <f t="shared" si="18"/>
        <v>3034420000</v>
      </c>
    </row>
    <row r="51" spans="1:46" x14ac:dyDescent="0.2">
      <c r="B51" s="1054" t="s">
        <v>703</v>
      </c>
      <c r="C51" s="1055"/>
      <c r="D51" s="1056">
        <f>(1/8)*MAX(D48:D50)*(D$11^2)</f>
        <v>0</v>
      </c>
      <c r="E51" s="1057" t="s">
        <v>92</v>
      </c>
      <c r="F51" s="1055"/>
      <c r="G51" s="1056">
        <f>(1/8)*MAX(G48:G50)*(G$11^2)</f>
        <v>0</v>
      </c>
      <c r="H51" s="1057" t="s">
        <v>92</v>
      </c>
      <c r="I51" s="1055"/>
      <c r="J51" s="1056">
        <f>(1/8)*MAX(J48:J50)*(J$11^2)</f>
        <v>0</v>
      </c>
      <c r="K51" s="1058" t="s">
        <v>92</v>
      </c>
      <c r="S51" s="189" t="s">
        <v>720</v>
      </c>
      <c r="T51" s="1025"/>
      <c r="U51" s="191">
        <f>$D$22</f>
        <v>0</v>
      </c>
      <c r="V51" s="14" t="s">
        <v>17</v>
      </c>
      <c r="W51" s="1025"/>
      <c r="X51" s="191">
        <f>$G$22</f>
        <v>0</v>
      </c>
      <c r="Y51" s="14" t="s">
        <v>17</v>
      </c>
      <c r="Z51" s="1025"/>
      <c r="AA51" s="191">
        <f>$J$22</f>
        <v>0</v>
      </c>
      <c r="AB51" s="17" t="s">
        <v>17</v>
      </c>
      <c r="AD51" s="28"/>
      <c r="AE51" s="28"/>
      <c r="AF51" s="28"/>
      <c r="AG51" s="789"/>
      <c r="AH51" s="1649"/>
      <c r="AI51" s="1650"/>
      <c r="AJ51" s="789"/>
      <c r="AK51" s="28"/>
      <c r="AL51" s="1650"/>
      <c r="AM51" s="28"/>
      <c r="AN51" s="14"/>
      <c r="AO51" s="1395">
        <v>4220750000</v>
      </c>
      <c r="AP51" s="1382">
        <v>9480000</v>
      </c>
      <c r="AQ51" s="1382" t="s">
        <v>820</v>
      </c>
      <c r="AR51" s="1383">
        <v>251.5925</v>
      </c>
      <c r="AS51" s="32">
        <f t="shared" si="17"/>
        <v>9480000</v>
      </c>
      <c r="AT51" s="754">
        <f t="shared" si="18"/>
        <v>4220750000</v>
      </c>
    </row>
    <row r="52" spans="1:46" ht="12.75" thickBot="1" x14ac:dyDescent="0.25">
      <c r="B52" s="740"/>
      <c r="C52" s="157"/>
      <c r="F52" s="200"/>
      <c r="I52" s="200"/>
      <c r="L52" s="14"/>
      <c r="S52" s="189" t="s">
        <v>716</v>
      </c>
      <c r="T52" s="1025"/>
      <c r="U52" s="1082">
        <f>U50*U51</f>
        <v>0</v>
      </c>
      <c r="V52" s="10" t="s">
        <v>104</v>
      </c>
      <c r="W52" s="1025"/>
      <c r="X52" s="1082">
        <f>X50*X51</f>
        <v>0</v>
      </c>
      <c r="Y52" s="10" t="s">
        <v>104</v>
      </c>
      <c r="Z52" s="1025"/>
      <c r="AA52" s="1082">
        <f>AA50*AA51</f>
        <v>0</v>
      </c>
      <c r="AB52" s="192" t="s">
        <v>104</v>
      </c>
      <c r="AD52" s="28"/>
      <c r="AE52" s="28"/>
      <c r="AF52" s="28"/>
      <c r="AG52" s="789"/>
      <c r="AH52" s="1649"/>
      <c r="AI52" s="1650"/>
      <c r="AJ52" s="789"/>
      <c r="AK52" s="28"/>
      <c r="AL52" s="1650"/>
      <c r="AM52" s="28"/>
      <c r="AN52" s="14"/>
      <c r="AO52" s="1395">
        <v>5538460000</v>
      </c>
      <c r="AP52" s="1382">
        <v>11190000</v>
      </c>
      <c r="AQ52" s="1382" t="s">
        <v>822</v>
      </c>
      <c r="AR52" s="1383">
        <v>272.23800000000006</v>
      </c>
      <c r="AS52" s="32">
        <f t="shared" si="17"/>
        <v>11190000</v>
      </c>
      <c r="AT52" s="754">
        <f t="shared" si="18"/>
        <v>5538460000</v>
      </c>
    </row>
    <row r="53" spans="1:46" ht="16.5" thickBot="1" x14ac:dyDescent="0.3">
      <c r="B53" s="49" t="s">
        <v>666</v>
      </c>
      <c r="C53" s="1024"/>
      <c r="D53" s="188"/>
      <c r="E53" s="13"/>
      <c r="F53" s="1032"/>
      <c r="G53" s="753"/>
      <c r="H53" s="11"/>
      <c r="I53" s="1032"/>
      <c r="J53" s="753"/>
      <c r="K53" s="12"/>
      <c r="S53" s="189" t="s">
        <v>719</v>
      </c>
      <c r="T53" s="1025"/>
      <c r="U53" s="191">
        <f>U52/$D$23</f>
        <v>0</v>
      </c>
      <c r="V53" s="14" t="s">
        <v>67</v>
      </c>
      <c r="W53" s="1025"/>
      <c r="X53" s="191">
        <f>X52/$G$23</f>
        <v>0</v>
      </c>
      <c r="Y53" s="14" t="s">
        <v>67</v>
      </c>
      <c r="Z53" s="1025"/>
      <c r="AA53" s="191">
        <f>AA52/$J$23</f>
        <v>0</v>
      </c>
      <c r="AB53" s="17" t="s">
        <v>67</v>
      </c>
      <c r="AD53" s="28"/>
      <c r="AE53" s="28"/>
      <c r="AF53" s="28"/>
      <c r="AG53" s="28"/>
      <c r="AH53" s="28"/>
      <c r="AI53" s="28"/>
      <c r="AJ53" s="28"/>
      <c r="AK53" s="28"/>
      <c r="AL53" s="28"/>
      <c r="AM53" s="28"/>
      <c r="AN53" s="14"/>
      <c r="AO53" s="1377">
        <v>6000000000</v>
      </c>
      <c r="AP53" s="999">
        <v>12000000</v>
      </c>
      <c r="AQ53" s="999" t="s">
        <v>924</v>
      </c>
      <c r="AR53" s="1383">
        <v>0</v>
      </c>
      <c r="AS53" s="32">
        <f t="shared" si="17"/>
        <v>12000000</v>
      </c>
      <c r="AT53" s="754">
        <f t="shared" si="18"/>
        <v>6000000000</v>
      </c>
    </row>
    <row r="54" spans="1:46" ht="12.75" thickBot="1" x14ac:dyDescent="0.25">
      <c r="B54" s="1012"/>
      <c r="C54" s="1871" t="s">
        <v>673</v>
      </c>
      <c r="D54" s="1872"/>
      <c r="E54" s="1873"/>
      <c r="F54" s="1871" t="s">
        <v>672</v>
      </c>
      <c r="G54" s="1872"/>
      <c r="H54" s="1873"/>
      <c r="I54" s="1871" t="s">
        <v>517</v>
      </c>
      <c r="J54" s="1872"/>
      <c r="K54" s="1873"/>
      <c r="S54" s="1406"/>
      <c r="T54" s="798"/>
      <c r="U54" s="187"/>
      <c r="V54" s="10"/>
      <c r="W54" s="798"/>
      <c r="X54" s="187"/>
      <c r="Z54" s="798"/>
      <c r="AA54" s="187"/>
      <c r="AB54" s="17"/>
      <c r="AD54" s="28"/>
      <c r="AE54" s="28"/>
      <c r="AF54" s="36"/>
      <c r="AG54" s="36"/>
      <c r="AH54" s="36"/>
      <c r="AI54" s="36"/>
      <c r="AJ54" s="36"/>
      <c r="AK54" s="28"/>
      <c r="AL54" s="28"/>
      <c r="AM54" s="28"/>
      <c r="AN54" s="14"/>
      <c r="AO54" s="15"/>
      <c r="AT54" s="17"/>
    </row>
    <row r="55" spans="1:46" ht="12.75" thickBot="1" x14ac:dyDescent="0.25">
      <c r="B55" s="189" t="s">
        <v>667</v>
      </c>
      <c r="C55" s="1396" t="str">
        <f>IF(D7="beton","",IF(D7="staal",T23,IF(D7="hout",T81,IF(C7="stalen vakwerk",""))))</f>
        <v>320x8-190x25-470x15</v>
      </c>
      <c r="D55" s="191">
        <f>IF(D7="beton",U57,IF(D7="staal",U27,IF(D7="hout",U85,IF(C7="stalen vakwerk",U121))))</f>
        <v>40.385067567567567</v>
      </c>
      <c r="E55" s="1397" t="s">
        <v>67</v>
      </c>
      <c r="F55" s="1396" t="str">
        <f>IF(G7="beton","",IF(G7="staal",W23,IF(G7="hout",W81,IF(F7="stalen vakwerk",""))))</f>
        <v>320x8-240x30-520x15</v>
      </c>
      <c r="G55" s="191">
        <f>IF(G7="beton",X57,IF(G7="staal",X27,IF(G7="hout",X85,IF(F7="stalen vakwerk",X121))))</f>
        <v>52.453062730627309</v>
      </c>
      <c r="H55" s="1397" t="s">
        <v>67</v>
      </c>
      <c r="I55" s="1396" t="str">
        <f>IF(J7="beton","",IF(J7="staal",Z23,IF(J7="hout",Z81,IF(I7="stalen vakwerk",""))))</f>
        <v>HEA360</v>
      </c>
      <c r="J55" s="191">
        <f>IF(J7="beton",AA57,IF(J7="staal",AA27,IF(J7="hout",AA85,IF(I7="stalen vakwerk",AA121))))</f>
        <v>34.083851351351356</v>
      </c>
      <c r="K55" s="1397" t="s">
        <v>67</v>
      </c>
      <c r="S55" s="1017" t="s">
        <v>677</v>
      </c>
      <c r="T55" s="1031"/>
      <c r="U55" s="842"/>
      <c r="V55" s="1014"/>
      <c r="W55" s="1031"/>
      <c r="X55" s="842"/>
      <c r="Y55" s="1015"/>
      <c r="Z55" s="1031"/>
      <c r="AA55" s="842"/>
      <c r="AB55" s="1016"/>
      <c r="AD55" s="28"/>
      <c r="AE55" s="36"/>
      <c r="AF55" s="36"/>
      <c r="AG55" s="36"/>
      <c r="AH55" s="36"/>
      <c r="AI55" s="36"/>
      <c r="AJ55" s="18"/>
      <c r="AK55" s="28"/>
      <c r="AL55" s="28"/>
      <c r="AM55" s="28"/>
      <c r="AN55" s="14"/>
      <c r="AO55" s="1385" t="s">
        <v>870</v>
      </c>
      <c r="AP55" s="1386"/>
      <c r="AQ55" s="1387"/>
      <c r="AR55" s="1386"/>
      <c r="AS55" s="1388"/>
      <c r="AT55" s="1389"/>
    </row>
    <row r="56" spans="1:46" x14ac:dyDescent="0.2">
      <c r="B56" s="34" t="s">
        <v>668</v>
      </c>
      <c r="C56" s="1398" t="str">
        <f>IF(D8="beton","",IF(D8="staal",T49,IF(D8="hout",T97)))</f>
        <v>150x5-190x15-400x12</v>
      </c>
      <c r="D56" s="939">
        <f>IF(D8="beton",U65,IF(D8="staal",U53,IF(D8="hout",U101)))</f>
        <v>0</v>
      </c>
      <c r="E56" s="1399" t="s">
        <v>67</v>
      </c>
      <c r="F56" s="1398" t="str">
        <f>IF(G8="beton","",IF(G8="staal",W49,IF(G8="hout",W97)))</f>
        <v>150x5-190x15-400x12</v>
      </c>
      <c r="G56" s="939">
        <f>IF(G8="beton",X65,IF(G8="staal",X53,IF(G8="hout",X101)))</f>
        <v>0</v>
      </c>
      <c r="H56" s="1399" t="s">
        <v>67</v>
      </c>
      <c r="I56" s="1398">
        <f>IF(J8="beton","",IF(J8="staal",Z49,IF(J8="hout",Z97)))</f>
        <v>0</v>
      </c>
      <c r="J56" s="939">
        <f>IF(J8="beton",AA65,IF(J8="staal",AA53,IF(J8="hout",AA101)))</f>
        <v>0</v>
      </c>
      <c r="K56" s="1399" t="s">
        <v>67</v>
      </c>
      <c r="S56" s="1018"/>
      <c r="T56" s="1874" t="s">
        <v>673</v>
      </c>
      <c r="U56" s="1875"/>
      <c r="V56" s="1876"/>
      <c r="W56" s="1874" t="s">
        <v>672</v>
      </c>
      <c r="X56" s="1875"/>
      <c r="Y56" s="1876"/>
      <c r="Z56" s="1874" t="s">
        <v>517</v>
      </c>
      <c r="AA56" s="1875"/>
      <c r="AB56" s="1876"/>
      <c r="AD56" s="28"/>
      <c r="AE56" s="36"/>
      <c r="AF56" s="28"/>
      <c r="AG56" s="28"/>
      <c r="AH56" s="28"/>
      <c r="AI56" s="28"/>
      <c r="AJ56" s="18"/>
      <c r="AK56" s="28"/>
      <c r="AL56" s="28"/>
      <c r="AM56" s="28"/>
      <c r="AN56" s="14"/>
      <c r="AO56" s="1377" t="s">
        <v>311</v>
      </c>
      <c r="AP56" s="999" t="s">
        <v>310</v>
      </c>
      <c r="AQ56" s="999"/>
      <c r="AR56" s="1378" t="s">
        <v>309</v>
      </c>
      <c r="AS56" s="999" t="s">
        <v>310</v>
      </c>
      <c r="AT56" s="1376" t="s">
        <v>311</v>
      </c>
    </row>
    <row r="57" spans="1:46" x14ac:dyDescent="0.2">
      <c r="B57" s="740"/>
      <c r="C57" s="157"/>
      <c r="E57" s="740"/>
      <c r="F57" s="157"/>
      <c r="H57" s="848"/>
      <c r="I57" s="157"/>
      <c r="L57" s="14"/>
      <c r="S57" s="15" t="s">
        <v>238</v>
      </c>
      <c r="T57" s="798"/>
      <c r="U57" s="751">
        <f>$Q$3*$D$21*AF7/$D$23</f>
        <v>486.48648648648651</v>
      </c>
      <c r="V57" s="18" t="s">
        <v>64</v>
      </c>
      <c r="W57" s="1025"/>
      <c r="X57" s="751">
        <f>$Q$3*$G$21*AG7/$G$23</f>
        <v>531.36531365313658</v>
      </c>
      <c r="Y57" s="18" t="s">
        <v>64</v>
      </c>
      <c r="Z57" s="1025"/>
      <c r="AA57" s="751">
        <f>$Q$3*$J$21*AH7/$J$23</f>
        <v>486.48648648648651</v>
      </c>
      <c r="AB57" s="923" t="s">
        <v>64</v>
      </c>
      <c r="AD57" s="28"/>
      <c r="AE57" s="36"/>
      <c r="AF57" s="28"/>
      <c r="AG57" s="28"/>
      <c r="AH57" s="28"/>
      <c r="AI57" s="28"/>
      <c r="AJ57" s="18"/>
      <c r="AK57" s="28"/>
      <c r="AL57" s="28"/>
      <c r="AM57" s="28"/>
      <c r="AN57" s="14"/>
      <c r="AO57" s="1377" t="s">
        <v>315</v>
      </c>
      <c r="AP57" s="999" t="s">
        <v>314</v>
      </c>
      <c r="AQ57" s="999"/>
      <c r="AR57" s="1378" t="s">
        <v>313</v>
      </c>
      <c r="AS57" s="999" t="s">
        <v>314</v>
      </c>
      <c r="AT57" s="1376" t="s">
        <v>315</v>
      </c>
    </row>
    <row r="58" spans="1:46" x14ac:dyDescent="0.2">
      <c r="A58" s="14"/>
      <c r="B58" s="33"/>
      <c r="C58" s="157"/>
      <c r="E58" s="33"/>
      <c r="F58" s="157"/>
      <c r="H58" s="14"/>
      <c r="I58" s="157"/>
      <c r="L58" s="14"/>
      <c r="S58" s="15" t="s">
        <v>1223</v>
      </c>
      <c r="T58" s="798"/>
      <c r="U58" s="751">
        <f>INDEX($AF$26:$AM$33,MATCH(D41,$AE$26:$AE$33,0),MATCH(D11,$AF$25:$AM$25,0))</f>
        <v>9.4693280000000009</v>
      </c>
      <c r="V58" s="18" t="s">
        <v>66</v>
      </c>
      <c r="W58" s="1025"/>
      <c r="X58" s="751">
        <f>INDEX($AF$26:$AM$33,MATCH(G41,$AE$26:$AE$33,0),MATCH(G11,$AF$25:$AM$25,0))</f>
        <v>10.294328</v>
      </c>
      <c r="Y58" s="18" t="s">
        <v>66</v>
      </c>
      <c r="Z58" s="1025"/>
      <c r="AA58" s="751">
        <f>INDEX($AF$26:$AM$33,MATCH(J41,$AE$26:$AE$33,0),MATCH(J11,$AF$25:$AM$25,0))</f>
        <v>9.3984000000000005</v>
      </c>
      <c r="AB58" s="18" t="s">
        <v>66</v>
      </c>
      <c r="AD58" s="28"/>
      <c r="AE58" s="36"/>
      <c r="AF58" s="28"/>
      <c r="AG58" s="28"/>
      <c r="AH58" s="28"/>
      <c r="AI58" s="28"/>
      <c r="AJ58" s="18"/>
      <c r="AK58" s="28"/>
      <c r="AL58" s="28"/>
      <c r="AM58" s="28"/>
      <c r="AN58" s="14"/>
      <c r="AO58" s="1395">
        <v>4500000</v>
      </c>
      <c r="AP58" s="1382">
        <v>90000</v>
      </c>
      <c r="AQ58" s="1158" t="s">
        <v>779</v>
      </c>
      <c r="AR58" s="1383">
        <v>20.399999999999999</v>
      </c>
      <c r="AS58" s="32">
        <f t="shared" ref="AS58:AS63" si="26">AP58</f>
        <v>90000</v>
      </c>
      <c r="AT58" s="754">
        <f t="shared" ref="AT58:AT63" si="27">AO58</f>
        <v>4500000</v>
      </c>
    </row>
    <row r="59" spans="1:46" x14ac:dyDescent="0.2">
      <c r="A59" s="18"/>
      <c r="B59" s="33"/>
      <c r="C59" s="157"/>
      <c r="E59" s="33"/>
      <c r="F59" s="157"/>
      <c r="H59" s="14"/>
      <c r="I59" s="157"/>
      <c r="L59" s="18"/>
      <c r="M59" s="1375"/>
      <c r="S59" s="189" t="s">
        <v>720</v>
      </c>
      <c r="T59" s="798"/>
      <c r="U59" s="191">
        <f>$D$21</f>
        <v>360</v>
      </c>
      <c r="V59" s="14" t="s">
        <v>17</v>
      </c>
      <c r="W59" s="798"/>
      <c r="X59" s="191">
        <f>$G$21</f>
        <v>360</v>
      </c>
      <c r="Y59" s="14" t="s">
        <v>17</v>
      </c>
      <c r="Z59" s="798"/>
      <c r="AA59" s="191">
        <f>$J$21</f>
        <v>360</v>
      </c>
      <c r="AB59" s="17" t="s">
        <v>17</v>
      </c>
      <c r="AD59" s="28"/>
      <c r="AE59" s="36"/>
      <c r="AF59" s="28"/>
      <c r="AG59" s="28"/>
      <c r="AH59" s="28"/>
      <c r="AI59" s="28"/>
      <c r="AJ59" s="18"/>
      <c r="AK59" s="28"/>
      <c r="AL59" s="28"/>
      <c r="AM59" s="28"/>
      <c r="AN59" s="14"/>
      <c r="AO59" s="1395">
        <v>8640000</v>
      </c>
      <c r="AP59" s="1382">
        <v>144000</v>
      </c>
      <c r="AQ59" s="1158" t="s">
        <v>781</v>
      </c>
      <c r="AR59" s="1383">
        <v>26.7</v>
      </c>
      <c r="AS59" s="32">
        <f t="shared" si="26"/>
        <v>144000</v>
      </c>
      <c r="AT59" s="754">
        <f t="shared" si="27"/>
        <v>8640000</v>
      </c>
    </row>
    <row r="60" spans="1:46" x14ac:dyDescent="0.2">
      <c r="A60" s="14"/>
      <c r="B60" s="33"/>
      <c r="C60" s="157"/>
      <c r="E60" s="33"/>
      <c r="F60" s="157"/>
      <c r="H60" s="14"/>
      <c r="I60" s="157"/>
      <c r="L60" s="14"/>
      <c r="S60" s="189" t="s">
        <v>1224</v>
      </c>
      <c r="T60" s="798"/>
      <c r="U60" s="1082">
        <f>U58*U59</f>
        <v>3408.9580800000003</v>
      </c>
      <c r="V60" s="10" t="s">
        <v>104</v>
      </c>
      <c r="W60" s="798"/>
      <c r="X60" s="1082">
        <f>X58*X59</f>
        <v>3705.9580799999999</v>
      </c>
      <c r="Y60" s="10" t="s">
        <v>104</v>
      </c>
      <c r="Z60" s="798"/>
      <c r="AA60" s="1082">
        <f>AA58*AA59</f>
        <v>3383.424</v>
      </c>
      <c r="AB60" s="192" t="s">
        <v>104</v>
      </c>
      <c r="AD60" s="28"/>
      <c r="AE60" s="36"/>
      <c r="AF60" s="28"/>
      <c r="AG60" s="28"/>
      <c r="AH60" s="28"/>
      <c r="AI60" s="28"/>
      <c r="AJ60" s="18"/>
      <c r="AK60" s="28"/>
      <c r="AL60" s="28"/>
      <c r="AM60" s="28"/>
      <c r="AN60" s="14"/>
      <c r="AO60" s="1395">
        <v>15090000</v>
      </c>
      <c r="AP60" s="1382">
        <v>216000</v>
      </c>
      <c r="AQ60" s="1158" t="s">
        <v>783</v>
      </c>
      <c r="AR60" s="1383">
        <v>33.799999999999997</v>
      </c>
      <c r="AS60" s="32">
        <f t="shared" si="26"/>
        <v>216000</v>
      </c>
      <c r="AT60" s="754">
        <f t="shared" si="27"/>
        <v>15090000</v>
      </c>
    </row>
    <row r="61" spans="1:46" x14ac:dyDescent="0.2">
      <c r="A61" s="14"/>
      <c r="B61" s="33"/>
      <c r="C61" s="157"/>
      <c r="E61" s="33"/>
      <c r="F61" s="157"/>
      <c r="H61" s="14"/>
      <c r="I61" s="157"/>
      <c r="L61" s="14"/>
      <c r="S61" s="189" t="s">
        <v>719</v>
      </c>
      <c r="T61" s="798"/>
      <c r="U61" s="191">
        <f>U60/$D$23</f>
        <v>2.879187567567568</v>
      </c>
      <c r="V61" s="14" t="s">
        <v>67</v>
      </c>
      <c r="W61" s="798"/>
      <c r="X61" s="191">
        <f>X60/$G$23</f>
        <v>3.4187805166051661</v>
      </c>
      <c r="Y61" s="14" t="s">
        <v>67</v>
      </c>
      <c r="Z61" s="798"/>
      <c r="AA61" s="191">
        <f>AA60/$J$23</f>
        <v>2.8576216216216217</v>
      </c>
      <c r="AB61" s="17" t="s">
        <v>67</v>
      </c>
      <c r="AC61" s="15"/>
      <c r="AD61" s="28"/>
      <c r="AE61" s="28"/>
      <c r="AF61" s="28"/>
      <c r="AG61" s="28"/>
      <c r="AH61" s="28"/>
      <c r="AI61" s="28"/>
      <c r="AJ61" s="28"/>
      <c r="AK61" s="28"/>
      <c r="AL61" s="28"/>
      <c r="AM61" s="28"/>
      <c r="AN61" s="14"/>
      <c r="AO61" s="1395">
        <v>24920000</v>
      </c>
      <c r="AP61" s="1382">
        <v>312000</v>
      </c>
      <c r="AQ61" s="1158" t="s">
        <v>786</v>
      </c>
      <c r="AR61" s="1383">
        <v>42.7</v>
      </c>
      <c r="AS61" s="32">
        <f t="shared" si="26"/>
        <v>312000</v>
      </c>
      <c r="AT61" s="754">
        <f t="shared" si="27"/>
        <v>24920000</v>
      </c>
    </row>
    <row r="62" spans="1:46" ht="12.75" thickBot="1" x14ac:dyDescent="0.25">
      <c r="A62" s="14"/>
      <c r="B62" s="33"/>
      <c r="C62" s="157"/>
      <c r="E62" s="33"/>
      <c r="F62" s="157"/>
      <c r="H62" s="14"/>
      <c r="I62" s="157"/>
      <c r="L62" s="14"/>
      <c r="S62" s="1820"/>
      <c r="T62" s="1820"/>
      <c r="W62" s="1820"/>
      <c r="Z62" s="1820"/>
      <c r="AC62" s="15"/>
      <c r="AD62" s="36"/>
      <c r="AE62" s="36"/>
      <c r="AF62" s="28"/>
      <c r="AG62" s="28"/>
      <c r="AH62" s="28"/>
      <c r="AI62" s="28"/>
      <c r="AJ62" s="28"/>
      <c r="AK62" s="28"/>
      <c r="AL62" s="28"/>
      <c r="AM62" s="28"/>
      <c r="AN62" s="14"/>
      <c r="AO62" s="1395">
        <v>38310000</v>
      </c>
      <c r="AP62" s="1382">
        <v>462000</v>
      </c>
      <c r="AQ62" s="1158" t="s">
        <v>788</v>
      </c>
      <c r="AR62" s="1383">
        <v>51.3</v>
      </c>
      <c r="AS62" s="32">
        <f t="shared" si="26"/>
        <v>462000</v>
      </c>
      <c r="AT62" s="754">
        <f t="shared" si="27"/>
        <v>38310000</v>
      </c>
    </row>
    <row r="63" spans="1:46" ht="12.75" thickBot="1" x14ac:dyDescent="0.25">
      <c r="A63" s="14"/>
      <c r="B63" s="33"/>
      <c r="C63" s="157"/>
      <c r="D63" s="157"/>
      <c r="E63" s="33"/>
      <c r="F63" s="157"/>
      <c r="G63" s="157"/>
      <c r="H63" s="14"/>
      <c r="I63" s="157"/>
      <c r="J63" s="157"/>
      <c r="K63" s="14"/>
      <c r="L63" s="14"/>
      <c r="R63" s="18"/>
      <c r="S63" s="1017" t="s">
        <v>679</v>
      </c>
      <c r="T63" s="1031"/>
      <c r="U63" s="842"/>
      <c r="V63" s="1014"/>
      <c r="W63" s="1031"/>
      <c r="X63" s="842"/>
      <c r="Y63" s="1015"/>
      <c r="Z63" s="1031"/>
      <c r="AA63" s="842"/>
      <c r="AB63" s="1016"/>
      <c r="AC63" s="18"/>
      <c r="AD63" s="28"/>
      <c r="AE63" s="28"/>
      <c r="AF63" s="36"/>
      <c r="AG63" s="36"/>
      <c r="AH63" s="36"/>
      <c r="AI63" s="36"/>
      <c r="AJ63" s="28"/>
      <c r="AK63" s="28"/>
      <c r="AL63" s="28"/>
      <c r="AM63" s="28"/>
      <c r="AN63" s="14"/>
      <c r="AO63" s="1395">
        <v>56960000</v>
      </c>
      <c r="AP63" s="1382">
        <v>570000</v>
      </c>
      <c r="AQ63" s="1158" t="s">
        <v>790</v>
      </c>
      <c r="AR63" s="1383">
        <v>61.3</v>
      </c>
      <c r="AS63" s="32">
        <f t="shared" si="26"/>
        <v>570000</v>
      </c>
      <c r="AT63" s="754">
        <f t="shared" si="27"/>
        <v>56960000</v>
      </c>
    </row>
    <row r="64" spans="1:46" x14ac:dyDescent="0.2">
      <c r="A64" s="14"/>
      <c r="B64" s="33"/>
      <c r="C64" s="157"/>
      <c r="D64" s="157"/>
      <c r="E64" s="33"/>
      <c r="F64" s="157"/>
      <c r="G64" s="157"/>
      <c r="H64" s="14"/>
      <c r="I64" s="157"/>
      <c r="J64" s="157"/>
      <c r="K64" s="14"/>
      <c r="L64" s="14"/>
      <c r="R64" s="18"/>
      <c r="S64" s="1018"/>
      <c r="T64" s="1807" t="s">
        <v>673</v>
      </c>
      <c r="U64" s="1808"/>
      <c r="V64" s="1809"/>
      <c r="W64" s="1807" t="s">
        <v>672</v>
      </c>
      <c r="X64" s="1808"/>
      <c r="Y64" s="1809"/>
      <c r="Z64" s="1807" t="s">
        <v>517</v>
      </c>
      <c r="AA64" s="1808"/>
      <c r="AB64" s="1809"/>
      <c r="AC64" s="18"/>
      <c r="AD64" s="28"/>
      <c r="AE64" s="36"/>
      <c r="AF64" s="36"/>
      <c r="AG64" s="36"/>
      <c r="AH64" s="36"/>
      <c r="AI64" s="36"/>
      <c r="AJ64" s="18"/>
      <c r="AK64" s="28"/>
      <c r="AL64" s="28"/>
      <c r="AM64" s="28"/>
      <c r="AN64" s="14"/>
      <c r="AO64" s="1395">
        <v>80910000</v>
      </c>
      <c r="AP64" s="1382">
        <v>736000</v>
      </c>
      <c r="AQ64" s="1158" t="s">
        <v>792</v>
      </c>
      <c r="AR64" s="1383">
        <v>71.5</v>
      </c>
      <c r="AS64" s="32">
        <f t="shared" ref="AS64:AS68" si="28">AP64</f>
        <v>736000</v>
      </c>
      <c r="AT64" s="754">
        <f t="shared" ref="AT64:AT68" si="29">AO64</f>
        <v>80910000</v>
      </c>
    </row>
    <row r="65" spans="1:46" x14ac:dyDescent="0.2">
      <c r="A65" s="14"/>
      <c r="B65" s="33"/>
      <c r="C65" s="157"/>
      <c r="D65" s="157"/>
      <c r="E65" s="33"/>
      <c r="F65" s="157"/>
      <c r="G65" s="157"/>
      <c r="H65" s="14"/>
      <c r="I65" s="157"/>
      <c r="J65" s="157"/>
      <c r="K65" s="14"/>
      <c r="L65" s="14"/>
      <c r="R65" s="18"/>
      <c r="S65" s="29" t="s">
        <v>238</v>
      </c>
      <c r="T65" s="1025"/>
      <c r="U65" s="751">
        <f>$Q$3*$D$22*AF8/$D$23</f>
        <v>0</v>
      </c>
      <c r="V65" s="18" t="s">
        <v>64</v>
      </c>
      <c r="W65" s="1025"/>
      <c r="X65" s="751">
        <f>$Q$3*$G$22*AG8/$G$23</f>
        <v>0</v>
      </c>
      <c r="Y65" s="18" t="s">
        <v>64</v>
      </c>
      <c r="Z65" s="1025"/>
      <c r="AA65" s="751">
        <f>$Q$3*$J$22*AH8/$J$23</f>
        <v>0</v>
      </c>
      <c r="AB65" s="1067" t="s">
        <v>64</v>
      </c>
      <c r="AC65" s="18"/>
      <c r="AD65" s="28"/>
      <c r="AE65" s="36"/>
      <c r="AF65" s="28"/>
      <c r="AG65" s="28"/>
      <c r="AH65" s="28"/>
      <c r="AI65" s="28"/>
      <c r="AJ65" s="18"/>
      <c r="AK65" s="28"/>
      <c r="AL65" s="28"/>
      <c r="AM65" s="28"/>
      <c r="AN65" s="14"/>
      <c r="AO65" s="1395">
        <v>112590000</v>
      </c>
      <c r="AP65" s="1382">
        <v>938000</v>
      </c>
      <c r="AQ65" s="1158" t="s">
        <v>794</v>
      </c>
      <c r="AR65" s="1383">
        <v>83.3</v>
      </c>
      <c r="AS65" s="32">
        <f t="shared" si="28"/>
        <v>938000</v>
      </c>
      <c r="AT65" s="754">
        <f t="shared" si="29"/>
        <v>112590000</v>
      </c>
    </row>
    <row r="66" spans="1:46" x14ac:dyDescent="0.2">
      <c r="A66" s="14"/>
      <c r="B66" s="33"/>
      <c r="C66" s="157"/>
      <c r="D66" s="157"/>
      <c r="E66" s="33"/>
      <c r="F66" s="157"/>
      <c r="G66" s="157"/>
      <c r="H66" s="14"/>
      <c r="I66" s="157"/>
      <c r="J66" s="157"/>
      <c r="K66" s="14"/>
      <c r="L66" s="14"/>
      <c r="R66" s="18"/>
      <c r="S66" s="29" t="s">
        <v>91</v>
      </c>
      <c r="T66" s="1025"/>
      <c r="U66" s="751">
        <f>INDEX($AF$26:$AM$33,MATCH(D41,$AE$26:$AE$33,0),MATCH(D12,$AF$25:$AM$25,0))</f>
        <v>3.5036513600000001</v>
      </c>
      <c r="V66" s="18" t="s">
        <v>66</v>
      </c>
      <c r="W66" s="1025"/>
      <c r="X66" s="751">
        <f>INDEX($AF$26:$AM$33,MATCH(G41,$AE$26:$AE$33,0),MATCH(G12,$AF$25:$AM$25,0))</f>
        <v>3.8089013600000001</v>
      </c>
      <c r="Y66" s="18" t="s">
        <v>66</v>
      </c>
      <c r="Z66" s="1025"/>
      <c r="AA66" s="751">
        <f>INDEX($AF$26:$AM$33,MATCH(J41,$AE$26:$AE$33,0),MATCH(J12,$AF$25:$AM$25,0))</f>
        <v>3.4774080000000001</v>
      </c>
      <c r="AB66" s="18" t="s">
        <v>66</v>
      </c>
      <c r="AC66" s="18"/>
      <c r="AD66" s="28"/>
      <c r="AE66" s="36"/>
      <c r="AF66" s="28"/>
      <c r="AG66" s="28"/>
      <c r="AH66" s="28"/>
      <c r="AI66" s="28"/>
      <c r="AJ66" s="18"/>
      <c r="AK66" s="28"/>
      <c r="AL66" s="28"/>
      <c r="AM66" s="28"/>
      <c r="AN66" s="14"/>
      <c r="AO66" s="1395">
        <v>149190000</v>
      </c>
      <c r="AP66" s="1382">
        <v>1150000</v>
      </c>
      <c r="AQ66" s="1158" t="s">
        <v>796</v>
      </c>
      <c r="AR66" s="1383">
        <v>93</v>
      </c>
      <c r="AS66" s="32">
        <f t="shared" si="28"/>
        <v>1150000</v>
      </c>
      <c r="AT66" s="754">
        <f t="shared" si="29"/>
        <v>149190000</v>
      </c>
    </row>
    <row r="67" spans="1:46" x14ac:dyDescent="0.2">
      <c r="A67" s="14"/>
      <c r="B67" s="33"/>
      <c r="C67" s="157"/>
      <c r="D67" s="157"/>
      <c r="E67" s="33"/>
      <c r="F67" s="157"/>
      <c r="G67" s="157"/>
      <c r="H67" s="14"/>
      <c r="I67" s="157"/>
      <c r="J67" s="157"/>
      <c r="K67" s="14"/>
      <c r="L67" s="14"/>
      <c r="R67" s="30"/>
      <c r="S67" s="189" t="s">
        <v>720</v>
      </c>
      <c r="T67" s="1025"/>
      <c r="U67" s="191">
        <f>$D$22</f>
        <v>0</v>
      </c>
      <c r="V67" s="14" t="s">
        <v>17</v>
      </c>
      <c r="W67" s="1025"/>
      <c r="X67" s="191">
        <f>$G$22</f>
        <v>0</v>
      </c>
      <c r="Y67" s="14" t="s">
        <v>17</v>
      </c>
      <c r="Z67" s="1025"/>
      <c r="AA67" s="191">
        <f>$J$22</f>
        <v>0</v>
      </c>
      <c r="AB67" s="17" t="s">
        <v>17</v>
      </c>
      <c r="AC67" s="30"/>
      <c r="AD67" s="28"/>
      <c r="AE67" s="36"/>
      <c r="AF67" s="28"/>
      <c r="AG67" s="28"/>
      <c r="AH67" s="28"/>
      <c r="AI67" s="28"/>
      <c r="AJ67" s="18"/>
      <c r="AK67" s="28"/>
      <c r="AL67" s="28"/>
      <c r="AM67" s="28"/>
      <c r="AN67" s="14"/>
      <c r="AO67" s="1395">
        <v>192700000</v>
      </c>
      <c r="AP67" s="1382">
        <v>1380000</v>
      </c>
      <c r="AQ67" s="1158" t="s">
        <v>798</v>
      </c>
      <c r="AR67" s="1383">
        <v>103.2</v>
      </c>
      <c r="AS67" s="32">
        <f t="shared" si="28"/>
        <v>1380000</v>
      </c>
      <c r="AT67" s="754">
        <f t="shared" si="29"/>
        <v>192700000</v>
      </c>
    </row>
    <row r="68" spans="1:46" x14ac:dyDescent="0.2">
      <c r="A68" s="14"/>
      <c r="B68" s="14"/>
      <c r="C68" s="14"/>
      <c r="D68" s="14"/>
      <c r="E68" s="14"/>
      <c r="F68" s="14"/>
      <c r="G68" s="14"/>
      <c r="H68" s="14"/>
      <c r="I68" s="14"/>
      <c r="J68" s="14"/>
      <c r="K68" s="14"/>
      <c r="L68" s="14"/>
      <c r="R68" s="26"/>
      <c r="S68" s="189" t="s">
        <v>716</v>
      </c>
      <c r="T68" s="1025"/>
      <c r="U68" s="1082">
        <f>U66*U67</f>
        <v>0</v>
      </c>
      <c r="V68" s="10" t="s">
        <v>104</v>
      </c>
      <c r="W68" s="1025"/>
      <c r="X68" s="1082">
        <f>X66*X67</f>
        <v>0</v>
      </c>
      <c r="Y68" s="10" t="s">
        <v>104</v>
      </c>
      <c r="Z68" s="1025"/>
      <c r="AA68" s="1082">
        <f>AA66*AA67</f>
        <v>0</v>
      </c>
      <c r="AB68" s="192" t="s">
        <v>104</v>
      </c>
      <c r="AC68" s="26"/>
      <c r="AD68" s="28"/>
      <c r="AE68" s="36"/>
      <c r="AF68" s="28"/>
      <c r="AG68" s="28"/>
      <c r="AH68" s="28"/>
      <c r="AI68" s="28"/>
      <c r="AJ68" s="18"/>
      <c r="AK68" s="28"/>
      <c r="AL68" s="28"/>
      <c r="AM68" s="28"/>
      <c r="AN68" s="14"/>
      <c r="AO68" s="1395">
        <v>251660000</v>
      </c>
      <c r="AP68" s="1382">
        <v>1680000</v>
      </c>
      <c r="AQ68" s="1158" t="s">
        <v>801</v>
      </c>
      <c r="AR68" s="1383">
        <v>117.1</v>
      </c>
      <c r="AS68" s="32">
        <f t="shared" si="28"/>
        <v>1680000</v>
      </c>
      <c r="AT68" s="754">
        <f t="shared" si="29"/>
        <v>251660000</v>
      </c>
    </row>
    <row r="69" spans="1:46" x14ac:dyDescent="0.2">
      <c r="A69" s="14"/>
      <c r="B69" s="14"/>
      <c r="C69" s="14"/>
      <c r="D69" s="14"/>
      <c r="E69" s="14"/>
      <c r="F69" s="14"/>
      <c r="G69" s="14"/>
      <c r="H69" s="14"/>
      <c r="I69" s="14"/>
      <c r="J69" s="14"/>
      <c r="K69" s="14"/>
      <c r="L69" s="14"/>
      <c r="R69" s="26"/>
      <c r="S69" s="189" t="s">
        <v>719</v>
      </c>
      <c r="T69" s="1025"/>
      <c r="U69" s="191">
        <f>U68/$D$23</f>
        <v>0</v>
      </c>
      <c r="V69" s="14" t="s">
        <v>67</v>
      </c>
      <c r="W69" s="1025"/>
      <c r="X69" s="191">
        <f>X68/$G$23</f>
        <v>0</v>
      </c>
      <c r="Y69" s="14" t="s">
        <v>67</v>
      </c>
      <c r="Z69" s="1025"/>
      <c r="AA69" s="191">
        <f>AA68/$J$23</f>
        <v>0</v>
      </c>
      <c r="AB69" s="17" t="s">
        <v>67</v>
      </c>
      <c r="AC69" s="26"/>
      <c r="AD69" s="28"/>
      <c r="AE69" s="36"/>
      <c r="AF69" s="28"/>
      <c r="AG69" s="28"/>
      <c r="AH69" s="28"/>
      <c r="AI69" s="28"/>
      <c r="AJ69" s="18"/>
      <c r="AK69" s="28"/>
      <c r="AL69" s="28"/>
      <c r="AM69" s="28"/>
      <c r="AN69" s="14"/>
      <c r="AO69" s="1395">
        <v>308230000</v>
      </c>
      <c r="AP69" s="1382">
        <v>1930000</v>
      </c>
      <c r="AQ69" s="1158" t="s">
        <v>803</v>
      </c>
      <c r="AR69" s="1383">
        <v>126.7</v>
      </c>
      <c r="AS69" s="32">
        <f t="shared" ref="AS69:AS82" si="30">AP69</f>
        <v>1930000</v>
      </c>
      <c r="AT69" s="754">
        <f t="shared" ref="AT69:AT82" si="31">AO69</f>
        <v>308230000</v>
      </c>
    </row>
    <row r="70" spans="1:46" ht="12.75" thickBot="1" x14ac:dyDescent="0.25">
      <c r="A70" s="14"/>
      <c r="B70" s="14"/>
      <c r="C70" s="14"/>
      <c r="D70" s="14"/>
      <c r="E70" s="14"/>
      <c r="F70" s="14"/>
      <c r="G70" s="14"/>
      <c r="H70" s="14"/>
      <c r="I70" s="14"/>
      <c r="J70" s="14"/>
      <c r="K70" s="14"/>
      <c r="L70" s="14"/>
      <c r="R70" s="26"/>
      <c r="S70" s="1820"/>
      <c r="T70" s="1820"/>
      <c r="U70" s="1818"/>
      <c r="V70" s="1819"/>
      <c r="W70" s="1818"/>
      <c r="X70" s="1818"/>
      <c r="Y70" s="1818"/>
      <c r="Z70" s="1820"/>
      <c r="AA70" s="1818"/>
      <c r="AB70" s="1819"/>
      <c r="AC70" s="26"/>
      <c r="AD70" s="28"/>
      <c r="AE70" s="36"/>
      <c r="AF70" s="28"/>
      <c r="AG70" s="28"/>
      <c r="AH70" s="28"/>
      <c r="AI70" s="28"/>
      <c r="AJ70" s="18"/>
      <c r="AK70" s="28"/>
      <c r="AL70" s="28"/>
      <c r="AM70" s="28"/>
      <c r="AN70" s="14"/>
      <c r="AO70" s="1395">
        <v>366560000</v>
      </c>
      <c r="AP70" s="1382">
        <v>2160000</v>
      </c>
      <c r="AQ70" s="1158" t="s">
        <v>804</v>
      </c>
      <c r="AR70" s="1383">
        <v>134.19999999999999</v>
      </c>
      <c r="AS70" s="32">
        <f t="shared" si="30"/>
        <v>2160000</v>
      </c>
      <c r="AT70" s="754">
        <f t="shared" si="31"/>
        <v>366560000</v>
      </c>
    </row>
    <row r="71" spans="1:46" ht="12.75" thickBot="1" x14ac:dyDescent="0.25">
      <c r="A71" s="14"/>
      <c r="B71" s="14"/>
      <c r="C71" s="14"/>
      <c r="D71" s="14"/>
      <c r="E71" s="14"/>
      <c r="F71" s="14"/>
      <c r="G71" s="14"/>
      <c r="H71" s="14"/>
      <c r="I71" s="14"/>
      <c r="J71" s="14"/>
      <c r="K71" s="14"/>
      <c r="L71" s="14"/>
      <c r="R71" s="26"/>
      <c r="S71" s="1814" t="s">
        <v>678</v>
      </c>
      <c r="T71" s="1815"/>
      <c r="U71" s="1816"/>
      <c r="V71" s="1817"/>
      <c r="W71" s="1815"/>
      <c r="X71" s="1816"/>
      <c r="Y71" s="1821"/>
      <c r="Z71" s="1815"/>
      <c r="AA71" s="1816"/>
      <c r="AB71" s="1822"/>
      <c r="AC71" s="26"/>
      <c r="AD71" s="28"/>
      <c r="AE71" s="36"/>
      <c r="AF71" s="28"/>
      <c r="AG71" s="28"/>
      <c r="AH71" s="28"/>
      <c r="AI71" s="28"/>
      <c r="AJ71" s="18"/>
      <c r="AK71" s="28"/>
      <c r="AL71" s="28"/>
      <c r="AM71" s="28"/>
      <c r="AN71" s="14"/>
      <c r="AO71" s="1395">
        <v>431930000</v>
      </c>
      <c r="AP71" s="1382">
        <v>2400000</v>
      </c>
      <c r="AQ71" s="1158" t="s">
        <v>806</v>
      </c>
      <c r="AR71" s="1383">
        <v>141.9</v>
      </c>
      <c r="AS71" s="32">
        <f t="shared" si="30"/>
        <v>2400000</v>
      </c>
      <c r="AT71" s="754">
        <f t="shared" si="31"/>
        <v>431930000</v>
      </c>
    </row>
    <row r="72" spans="1:46" x14ac:dyDescent="0.2">
      <c r="A72" s="14"/>
      <c r="B72" s="14"/>
      <c r="C72" s="14"/>
      <c r="D72" s="14"/>
      <c r="E72" s="14"/>
      <c r="F72" s="14"/>
      <c r="G72" s="14"/>
      <c r="H72" s="14"/>
      <c r="I72" s="14"/>
      <c r="J72" s="14"/>
      <c r="K72" s="14"/>
      <c r="L72" s="14"/>
      <c r="R72" s="26"/>
      <c r="S72" s="1018"/>
      <c r="T72" s="1807" t="s">
        <v>673</v>
      </c>
      <c r="U72" s="1808"/>
      <c r="V72" s="1809"/>
      <c r="W72" s="1807" t="s">
        <v>672</v>
      </c>
      <c r="X72" s="1808"/>
      <c r="Y72" s="1809"/>
      <c r="Z72" s="1807" t="s">
        <v>517</v>
      </c>
      <c r="AA72" s="1808"/>
      <c r="AB72" s="1809"/>
      <c r="AC72" s="26"/>
      <c r="AD72" s="28"/>
      <c r="AE72" s="36"/>
      <c r="AF72" s="28"/>
      <c r="AG72" s="28"/>
      <c r="AH72" s="28"/>
      <c r="AI72" s="28"/>
      <c r="AJ72" s="18"/>
      <c r="AK72" s="28"/>
      <c r="AL72" s="28"/>
      <c r="AM72" s="28"/>
      <c r="AN72" s="14"/>
      <c r="AO72" s="1395">
        <v>576800000</v>
      </c>
      <c r="AP72" s="1382">
        <v>2880000</v>
      </c>
      <c r="AQ72" s="1158" t="s">
        <v>808</v>
      </c>
      <c r="AR72" s="1383">
        <v>155.4</v>
      </c>
      <c r="AS72" s="32">
        <f t="shared" si="30"/>
        <v>2880000</v>
      </c>
      <c r="AT72" s="754">
        <f t="shared" si="31"/>
        <v>576800000</v>
      </c>
    </row>
    <row r="73" spans="1:46" x14ac:dyDescent="0.2">
      <c r="A73" s="14"/>
      <c r="B73" s="14"/>
      <c r="C73" s="14"/>
      <c r="D73" s="14"/>
      <c r="E73" s="14"/>
      <c r="F73" s="14"/>
      <c r="G73" s="14"/>
      <c r="H73" s="14"/>
      <c r="I73" s="14"/>
      <c r="J73" s="14"/>
      <c r="K73" s="14"/>
      <c r="L73" s="14"/>
      <c r="R73" s="26"/>
      <c r="S73" s="818" t="s">
        <v>681</v>
      </c>
      <c r="T73" s="827" t="str">
        <f>'01_ALGEMEEN'!$D$109</f>
        <v>gewalst staal S355</v>
      </c>
      <c r="U73" s="190">
        <f>VLOOKUP(T73,$M$3:$P$11,3,0)</f>
        <v>300</v>
      </c>
      <c r="V73" s="14" t="s">
        <v>139</v>
      </c>
      <c r="W73" s="825" t="str">
        <f>'01_ALGEMEEN'!$D$154</f>
        <v>gewalst staal S235</v>
      </c>
      <c r="X73" s="190">
        <f>VLOOKUP(W73,$M$3:$P$11,3,0)</f>
        <v>200</v>
      </c>
      <c r="Y73" s="14" t="s">
        <v>139</v>
      </c>
      <c r="Z73" s="825" t="str">
        <f>'01_ALGEMEEN'!$D$198</f>
        <v>gewalst staal S355</v>
      </c>
      <c r="AA73" s="190">
        <f>VLOOKUP(Z73,$M$3:$P$11,3,0)</f>
        <v>300</v>
      </c>
      <c r="AB73" s="923" t="s">
        <v>139</v>
      </c>
      <c r="AC73" s="26"/>
      <c r="AD73" s="28"/>
      <c r="AE73" s="36"/>
      <c r="AF73" s="28"/>
      <c r="AG73" s="28"/>
      <c r="AH73" s="28"/>
      <c r="AI73" s="28"/>
      <c r="AJ73" s="18"/>
      <c r="AK73" s="28"/>
      <c r="AL73" s="28"/>
      <c r="AM73" s="28"/>
      <c r="AN73" s="14"/>
      <c r="AO73" s="1395">
        <v>798870000</v>
      </c>
      <c r="AP73" s="1382">
        <v>3550000</v>
      </c>
      <c r="AQ73" s="1158" t="s">
        <v>810</v>
      </c>
      <c r="AR73" s="1383">
        <v>171.2</v>
      </c>
      <c r="AS73" s="32">
        <f t="shared" si="30"/>
        <v>3550000</v>
      </c>
      <c r="AT73" s="754">
        <f t="shared" si="31"/>
        <v>798870000</v>
      </c>
    </row>
    <row r="74" spans="1:46" x14ac:dyDescent="0.2">
      <c r="A74" s="14"/>
      <c r="B74" s="14"/>
      <c r="C74" s="14"/>
      <c r="D74" s="14"/>
      <c r="E74" s="14"/>
      <c r="F74" s="14"/>
      <c r="G74" s="14"/>
      <c r="H74" s="14"/>
      <c r="I74" s="14"/>
      <c r="J74" s="14"/>
      <c r="K74" s="14"/>
      <c r="L74" s="14"/>
      <c r="R74" s="37"/>
      <c r="S74" s="818" t="s">
        <v>283</v>
      </c>
      <c r="T74" s="825" t="str">
        <f>'01_ALGEMEEN'!$D$109</f>
        <v>gewalst staal S355</v>
      </c>
      <c r="U74" s="190">
        <f>VLOOKUP(T74,$M$3:$P$11,4,0)</f>
        <v>210000</v>
      </c>
      <c r="V74" s="22" t="s">
        <v>139</v>
      </c>
      <c r="W74" s="825" t="str">
        <f>'01_ALGEMEEN'!$D$154</f>
        <v>gewalst staal S235</v>
      </c>
      <c r="X74" s="190">
        <f>VLOOKUP(W74,$M$3:$P$11,4,0)</f>
        <v>210000</v>
      </c>
      <c r="Y74" s="22" t="s">
        <v>139</v>
      </c>
      <c r="Z74" s="825" t="str">
        <f>'01_ALGEMEEN'!$D$198</f>
        <v>gewalst staal S355</v>
      </c>
      <c r="AA74" s="190">
        <f>VLOOKUP(Z74,$M$3:$P$11,4,0)</f>
        <v>210000</v>
      </c>
      <c r="AB74" s="194" t="s">
        <v>139</v>
      </c>
      <c r="AC74" s="37"/>
      <c r="AD74" s="28"/>
      <c r="AE74" s="36"/>
      <c r="AF74" s="28"/>
      <c r="AG74" s="28"/>
      <c r="AH74" s="28"/>
      <c r="AI74" s="28"/>
      <c r="AJ74" s="18"/>
      <c r="AK74" s="28"/>
      <c r="AL74" s="28"/>
      <c r="AM74" s="28"/>
      <c r="AN74" s="14"/>
      <c r="AO74" s="1395">
        <v>1071760000</v>
      </c>
      <c r="AP74" s="1382">
        <v>4290000</v>
      </c>
      <c r="AQ74" s="1158" t="s">
        <v>812</v>
      </c>
      <c r="AR74" s="1383">
        <v>187.4</v>
      </c>
      <c r="AS74" s="32">
        <f t="shared" si="30"/>
        <v>4290000</v>
      </c>
      <c r="AT74" s="754">
        <f t="shared" si="31"/>
        <v>1071760000</v>
      </c>
    </row>
    <row r="75" spans="1:46" x14ac:dyDescent="0.2">
      <c r="A75" s="14"/>
      <c r="B75" s="14"/>
      <c r="C75" s="14"/>
      <c r="D75" s="14"/>
      <c r="E75" s="14"/>
      <c r="F75" s="14"/>
      <c r="G75" s="14"/>
      <c r="H75" s="14"/>
      <c r="I75" s="14"/>
      <c r="J75" s="14"/>
      <c r="K75" s="14"/>
      <c r="L75" s="14"/>
      <c r="R75" s="37"/>
      <c r="S75" s="818"/>
      <c r="T75" s="798"/>
      <c r="U75" s="157"/>
      <c r="V75" s="33"/>
      <c r="W75" s="798"/>
      <c r="X75" s="157"/>
      <c r="Y75" s="33"/>
      <c r="Z75" s="798"/>
      <c r="AA75" s="157"/>
      <c r="AB75" s="192"/>
      <c r="AC75" s="37"/>
      <c r="AN75" s="14"/>
      <c r="AO75" s="1395">
        <v>1366910000</v>
      </c>
      <c r="AP75" s="1382">
        <v>4970000</v>
      </c>
      <c r="AQ75" s="1158" t="s">
        <v>814</v>
      </c>
      <c r="AR75" s="1383">
        <v>199.6</v>
      </c>
      <c r="AS75" s="32">
        <f t="shared" si="30"/>
        <v>4970000</v>
      </c>
      <c r="AT75" s="754">
        <f t="shared" si="31"/>
        <v>1366910000</v>
      </c>
    </row>
    <row r="76" spans="1:46" x14ac:dyDescent="0.2">
      <c r="A76" s="14"/>
      <c r="B76" s="14"/>
      <c r="C76" s="14"/>
      <c r="D76" s="14"/>
      <c r="E76" s="14"/>
      <c r="F76" s="14"/>
      <c r="G76" s="14"/>
      <c r="H76" s="14"/>
      <c r="I76" s="14"/>
      <c r="J76" s="14"/>
      <c r="K76" s="14"/>
      <c r="L76" s="14"/>
      <c r="R76" s="37"/>
      <c r="S76" s="1023" t="s">
        <v>710</v>
      </c>
      <c r="T76" s="1025"/>
      <c r="U76" s="751">
        <f>$D$46*1000000/U73</f>
        <v>1327140.6666666667</v>
      </c>
      <c r="V76" s="28" t="s">
        <v>355</v>
      </c>
      <c r="W76" s="1025"/>
      <c r="X76" s="751">
        <f>$G$46*1000000/X73</f>
        <v>2164148.5</v>
      </c>
      <c r="Y76" s="28" t="s">
        <v>355</v>
      </c>
      <c r="Z76" s="1025"/>
      <c r="AA76" s="751">
        <f>$J$46*1000000/AA73</f>
        <v>1317200</v>
      </c>
      <c r="AB76" s="193" t="s">
        <v>355</v>
      </c>
      <c r="AC76" s="37"/>
      <c r="AN76" s="14"/>
      <c r="AO76" s="1395">
        <v>1710410000</v>
      </c>
      <c r="AP76" s="1382">
        <v>5700000</v>
      </c>
      <c r="AQ76" s="1158" t="s">
        <v>816</v>
      </c>
      <c r="AR76" s="1383">
        <v>212.1</v>
      </c>
      <c r="AS76" s="32">
        <f t="shared" si="30"/>
        <v>5700000</v>
      </c>
      <c r="AT76" s="754">
        <f t="shared" si="31"/>
        <v>1710410000</v>
      </c>
    </row>
    <row r="77" spans="1:46" x14ac:dyDescent="0.2">
      <c r="A77" s="14"/>
      <c r="B77" s="14"/>
      <c r="C77" s="14"/>
      <c r="D77" s="14"/>
      <c r="E77" s="14"/>
      <c r="F77" s="14"/>
      <c r="G77" s="14"/>
      <c r="H77" s="14"/>
      <c r="I77" s="14"/>
      <c r="J77" s="14"/>
      <c r="K77" s="14"/>
      <c r="L77" s="14"/>
      <c r="R77" s="37"/>
      <c r="S77" s="748" t="s">
        <v>540</v>
      </c>
      <c r="T77" s="1027" t="str">
        <f>IF(U76&gt;$AW$6,(VLOOKUP(U76,$AW$6:$BE$40,2,TRUE)),$AX$6)</f>
        <v>GL160*300</v>
      </c>
      <c r="U77" s="27" t="s">
        <v>541</v>
      </c>
      <c r="V77" s="789">
        <f>MATCH(T77,$AX$6:$AX$40,0)</f>
        <v>1</v>
      </c>
      <c r="W77" s="1027" t="str">
        <f>IF(X76&gt;$AW$6,(VLOOKUP(X76,$AW$6:$BE$40,2,TRUE)),$AX$6)</f>
        <v>GL160*300</v>
      </c>
      <c r="X77" s="27" t="s">
        <v>541</v>
      </c>
      <c r="Y77" s="789">
        <f>MATCH(W77,$AX$6:$AX$40,0)</f>
        <v>1</v>
      </c>
      <c r="Z77" s="1027" t="str">
        <f>IF(AA76&gt;$AW$6,(VLOOKUP(AA76,$AW$6:$BE$40,2,TRUE)),$AX$6)</f>
        <v>GL160*300</v>
      </c>
      <c r="AA77" s="27" t="s">
        <v>541</v>
      </c>
      <c r="AB77" s="856">
        <f>MATCH(Z77,$AX$6:$AX$40,0)</f>
        <v>1</v>
      </c>
      <c r="AC77" s="37"/>
      <c r="AN77" s="14"/>
      <c r="AO77" s="1395">
        <v>2106160000</v>
      </c>
      <c r="AP77" s="1382">
        <v>6480000</v>
      </c>
      <c r="AQ77" s="1158" t="s">
        <v>818</v>
      </c>
      <c r="AR77" s="1383">
        <v>224.9</v>
      </c>
      <c r="AS77" s="32">
        <f t="shared" si="30"/>
        <v>6480000</v>
      </c>
      <c r="AT77" s="754">
        <f t="shared" si="31"/>
        <v>2106160000</v>
      </c>
    </row>
    <row r="78" spans="1:46" x14ac:dyDescent="0.2">
      <c r="A78" s="14"/>
      <c r="B78" s="14"/>
      <c r="C78" s="14"/>
      <c r="D78" s="14"/>
      <c r="E78" s="14"/>
      <c r="F78" s="14"/>
      <c r="G78" s="14"/>
      <c r="H78" s="14"/>
      <c r="I78" s="14"/>
      <c r="J78" s="14"/>
      <c r="K78" s="14"/>
      <c r="L78" s="14"/>
      <c r="R78" s="37"/>
      <c r="S78" s="748" t="s">
        <v>711</v>
      </c>
      <c r="T78" s="1025"/>
      <c r="U78" s="751">
        <f>(5*MAX($D$30:$D$32)*(1000*$D$11)^4/(384*U74*0.004*$D$11*1000))</f>
        <v>368424685.8465609</v>
      </c>
      <c r="V78" s="28" t="s">
        <v>356</v>
      </c>
      <c r="W78" s="1025"/>
      <c r="X78" s="751">
        <f>(5*MAX($G$30:$G$32)*(1000*$G$11)^4/(384*X74*0.004*$G$11*1000))</f>
        <v>397101521.16402125</v>
      </c>
      <c r="Y78" s="28" t="s">
        <v>356</v>
      </c>
      <c r="Z78" s="1025"/>
      <c r="AA78" s="751">
        <f>(5*MAX($J$30:$J$32)*(1000*$D$11)^4/(384*AA74*0.004*$D$11*1000))</f>
        <v>394019717.26190466</v>
      </c>
      <c r="AB78" s="193" t="s">
        <v>356</v>
      </c>
      <c r="AC78" s="37"/>
      <c r="AN78" s="14"/>
      <c r="AO78" s="1395">
        <v>2568880000</v>
      </c>
      <c r="AP78" s="1382">
        <v>7340000</v>
      </c>
      <c r="AQ78" s="1158" t="s">
        <v>819</v>
      </c>
      <c r="AR78" s="1383">
        <v>240.7</v>
      </c>
      <c r="AS78" s="32">
        <f t="shared" si="30"/>
        <v>7340000</v>
      </c>
      <c r="AT78" s="754">
        <f t="shared" si="31"/>
        <v>2568880000</v>
      </c>
    </row>
    <row r="79" spans="1:46" x14ac:dyDescent="0.2">
      <c r="A79" s="14"/>
      <c r="B79" s="14"/>
      <c r="C79" s="14"/>
      <c r="D79" s="14"/>
      <c r="E79" s="14"/>
      <c r="F79" s="14"/>
      <c r="G79" s="14"/>
      <c r="H79" s="14"/>
      <c r="I79" s="14"/>
      <c r="J79" s="14"/>
      <c r="K79" s="14"/>
      <c r="L79" s="14"/>
      <c r="R79" s="37"/>
      <c r="S79" s="748" t="s">
        <v>540</v>
      </c>
      <c r="T79" s="1027" t="str">
        <f>IF(U78&gt;$AV$6,VLOOKUP(U78,$AV$6:$BE$40,3,TRUE),$AX$6)</f>
        <v>GL160*300</v>
      </c>
      <c r="U79" s="27" t="s">
        <v>541</v>
      </c>
      <c r="V79" s="789">
        <f>MATCH(T79,$AX$6:$AX$40,0)</f>
        <v>1</v>
      </c>
      <c r="W79" s="1027" t="str">
        <f>IF(X78&gt;$AV$6,VLOOKUP(X78,$AV$6:$BE$40,3,TRUE),$AX$6)</f>
        <v>GL160*300</v>
      </c>
      <c r="X79" s="27" t="s">
        <v>541</v>
      </c>
      <c r="Y79" s="789">
        <f>MATCH(W79,$AX$6:$AX$40,0)</f>
        <v>1</v>
      </c>
      <c r="Z79" s="1027" t="str">
        <f>IF(AA78&gt;$AV$6,VLOOKUP(AA78,$AV$6:$BE$40,3,TRUE),$AX$6)</f>
        <v>GL160*300</v>
      </c>
      <c r="AA79" s="27" t="s">
        <v>541</v>
      </c>
      <c r="AB79" s="856">
        <f>MATCH(Z79,$AX$6:$AX$40,0)</f>
        <v>1</v>
      </c>
      <c r="AC79" s="37"/>
      <c r="AN79" s="14"/>
      <c r="AO79" s="1395">
        <v>3590830000</v>
      </c>
      <c r="AP79" s="1382">
        <v>8980000</v>
      </c>
      <c r="AQ79" s="1158" t="s">
        <v>821</v>
      </c>
      <c r="AR79" s="1383">
        <v>262.5</v>
      </c>
      <c r="AS79" s="32">
        <f t="shared" si="30"/>
        <v>8980000</v>
      </c>
      <c r="AT79" s="754">
        <f t="shared" si="31"/>
        <v>3590830000</v>
      </c>
    </row>
    <row r="80" spans="1:46" x14ac:dyDescent="0.2">
      <c r="A80" s="14"/>
      <c r="B80" s="14"/>
      <c r="C80" s="14"/>
      <c r="D80" s="14"/>
      <c r="E80" s="14"/>
      <c r="F80" s="14"/>
      <c r="G80" s="14"/>
      <c r="H80" s="14"/>
      <c r="I80" s="14"/>
      <c r="J80" s="14"/>
      <c r="K80" s="14"/>
      <c r="L80" s="14"/>
      <c r="R80" s="37"/>
      <c r="S80" s="748"/>
      <c r="T80" s="1025"/>
      <c r="U80" s="27"/>
      <c r="V80" s="28"/>
      <c r="W80" s="1025"/>
      <c r="X80" s="27"/>
      <c r="Y80" s="28"/>
      <c r="Z80" s="1025"/>
      <c r="AA80" s="27"/>
      <c r="AB80" s="193"/>
      <c r="AC80" s="37"/>
      <c r="AN80" s="14"/>
      <c r="AO80" s="1395">
        <v>4940650000</v>
      </c>
      <c r="AP80" s="1382">
        <v>10980000</v>
      </c>
      <c r="AQ80" s="1158" t="s">
        <v>823</v>
      </c>
      <c r="AR80" s="1383">
        <v>291.7</v>
      </c>
      <c r="AS80" s="32">
        <f t="shared" si="30"/>
        <v>10980000</v>
      </c>
      <c r="AT80" s="754">
        <f t="shared" si="31"/>
        <v>4940650000</v>
      </c>
    </row>
    <row r="81" spans="1:47" x14ac:dyDescent="0.2">
      <c r="A81" s="14"/>
      <c r="B81" s="14"/>
      <c r="C81" s="14"/>
      <c r="D81" s="14"/>
      <c r="E81" s="14"/>
      <c r="F81" s="14"/>
      <c r="G81" s="14"/>
      <c r="H81" s="14"/>
      <c r="I81" s="14"/>
      <c r="J81" s="14"/>
      <c r="K81" s="14"/>
      <c r="L81" s="14"/>
      <c r="R81" s="37"/>
      <c r="S81" s="748" t="s">
        <v>357</v>
      </c>
      <c r="T81" s="1027" t="str">
        <f>IF(V81=V77,T77,IF(V81=V79,T79))</f>
        <v>GL160*300</v>
      </c>
      <c r="U81" s="27" t="s">
        <v>541</v>
      </c>
      <c r="V81" s="789">
        <f>MAX(V77,V79)</f>
        <v>1</v>
      </c>
      <c r="W81" s="1027" t="str">
        <f>IF(Y81=Y77,W77,IF(Y81=Y79,W79))</f>
        <v>GL160*300</v>
      </c>
      <c r="X81" s="27" t="s">
        <v>541</v>
      </c>
      <c r="Y81" s="789">
        <f>MAX(Y77,Y79)</f>
        <v>1</v>
      </c>
      <c r="Z81" s="1027" t="str">
        <f>IF(AB81=AB77,Z77,IF(AB81=AB79,Z79))</f>
        <v>GL160*300</v>
      </c>
      <c r="AA81" s="27" t="s">
        <v>541</v>
      </c>
      <c r="AB81" s="856">
        <f>MAX(AB77,AB79)</f>
        <v>1</v>
      </c>
      <c r="AC81" s="37"/>
      <c r="AO81" s="1395">
        <v>6447480000</v>
      </c>
      <c r="AP81" s="1382">
        <v>12890000</v>
      </c>
      <c r="AQ81" s="1158" t="s">
        <v>824</v>
      </c>
      <c r="AR81" s="1383">
        <v>314.2</v>
      </c>
      <c r="AS81" s="32">
        <f t="shared" si="30"/>
        <v>12890000</v>
      </c>
      <c r="AT81" s="754">
        <f t="shared" si="31"/>
        <v>6447480000</v>
      </c>
    </row>
    <row r="82" spans="1:47" x14ac:dyDescent="0.2">
      <c r="A82" s="14"/>
      <c r="B82" s="14"/>
      <c r="C82" s="14"/>
      <c r="D82" s="14"/>
      <c r="E82" s="14"/>
      <c r="F82" s="14"/>
      <c r="G82" s="14"/>
      <c r="H82" s="14"/>
      <c r="I82" s="14"/>
      <c r="J82" s="14"/>
      <c r="K82" s="14"/>
      <c r="L82" s="14"/>
      <c r="R82" s="37"/>
      <c r="S82" s="189" t="s">
        <v>542</v>
      </c>
      <c r="T82" s="798"/>
      <c r="U82" s="750">
        <f>VLOOKUP(T81,$AX$6:$BC$40,6,0)</f>
        <v>18.239999999999998</v>
      </c>
      <c r="V82" s="33" t="s">
        <v>66</v>
      </c>
      <c r="W82" s="798"/>
      <c r="X82" s="750">
        <f>VLOOKUP(W81,$AX$6:$BC$40,6,0)</f>
        <v>18.239999999999998</v>
      </c>
      <c r="Y82" s="33" t="s">
        <v>66</v>
      </c>
      <c r="Z82" s="798"/>
      <c r="AA82" s="750">
        <f>VLOOKUP(Z81,$AX$6:$BC$40,6,0)</f>
        <v>18.239999999999998</v>
      </c>
      <c r="AB82" s="192" t="s">
        <v>66</v>
      </c>
      <c r="AC82" s="37"/>
      <c r="AO82" s="1377">
        <v>7500000000</v>
      </c>
      <c r="AP82" s="999">
        <v>14000000</v>
      </c>
      <c r="AQ82" s="999" t="s">
        <v>924</v>
      </c>
      <c r="AR82" s="1383">
        <v>0</v>
      </c>
      <c r="AS82" s="32">
        <f t="shared" si="30"/>
        <v>14000000</v>
      </c>
      <c r="AT82" s="754">
        <f t="shared" si="31"/>
        <v>7500000000</v>
      </c>
    </row>
    <row r="83" spans="1:47" x14ac:dyDescent="0.2">
      <c r="A83" s="14"/>
      <c r="B83" s="14"/>
      <c r="C83" s="14"/>
      <c r="D83" s="14"/>
      <c r="E83" s="14"/>
      <c r="F83" s="14"/>
      <c r="G83" s="14"/>
      <c r="H83" s="14"/>
      <c r="I83" s="14"/>
      <c r="J83" s="14"/>
      <c r="K83" s="14"/>
      <c r="L83" s="14"/>
      <c r="R83" s="37"/>
      <c r="S83" s="189"/>
      <c r="T83" s="798"/>
      <c r="U83" s="157"/>
      <c r="V83" s="33"/>
      <c r="W83" s="798"/>
      <c r="X83" s="157"/>
      <c r="Y83" s="33"/>
      <c r="Z83" s="798"/>
      <c r="AA83" s="157"/>
      <c r="AB83" s="192"/>
      <c r="AC83" s="37"/>
      <c r="AO83" s="15"/>
      <c r="AT83" s="17"/>
    </row>
    <row r="84" spans="1:47" x14ac:dyDescent="0.2">
      <c r="A84" s="14"/>
      <c r="B84" s="14"/>
      <c r="C84" s="14"/>
      <c r="D84" s="14"/>
      <c r="E84" s="14"/>
      <c r="F84" s="14"/>
      <c r="G84" s="14"/>
      <c r="H84" s="14"/>
      <c r="I84" s="14"/>
      <c r="J84" s="14"/>
      <c r="K84" s="14"/>
      <c r="L84" s="14"/>
      <c r="R84" s="37"/>
      <c r="S84" s="189" t="s">
        <v>1207</v>
      </c>
      <c r="T84" s="798"/>
      <c r="U84" s="196">
        <f>U82*D21</f>
        <v>6566.4</v>
      </c>
      <c r="V84" s="14" t="s">
        <v>104</v>
      </c>
      <c r="W84" s="798"/>
      <c r="X84" s="196">
        <f>X82*G21</f>
        <v>6566.4</v>
      </c>
      <c r="Y84" s="14" t="s">
        <v>104</v>
      </c>
      <c r="Z84" s="798"/>
      <c r="AA84" s="196">
        <f>AA82*J21</f>
        <v>6566.4</v>
      </c>
      <c r="AB84" s="14" t="s">
        <v>104</v>
      </c>
      <c r="AC84" s="1823"/>
      <c r="AO84" s="1385" t="s">
        <v>909</v>
      </c>
      <c r="AP84" s="1386"/>
      <c r="AQ84" s="1387"/>
      <c r="AR84" s="1386"/>
      <c r="AS84" s="1388"/>
      <c r="AT84" s="1389"/>
    </row>
    <row r="85" spans="1:47" x14ac:dyDescent="0.2">
      <c r="A85" s="14"/>
      <c r="B85" s="14"/>
      <c r="C85" s="14"/>
      <c r="D85" s="14"/>
      <c r="E85" s="14"/>
      <c r="F85" s="14"/>
      <c r="G85" s="14"/>
      <c r="H85" s="14"/>
      <c r="I85" s="14"/>
      <c r="J85" s="14"/>
      <c r="K85" s="14"/>
      <c r="L85" s="14"/>
      <c r="R85" s="37"/>
      <c r="S85" s="189" t="s">
        <v>1208</v>
      </c>
      <c r="T85" s="798"/>
      <c r="U85" s="196">
        <f>U84/D23</f>
        <v>5.5459459459459453</v>
      </c>
      <c r="V85" s="14" t="s">
        <v>67</v>
      </c>
      <c r="W85" s="798"/>
      <c r="X85" s="196">
        <f>X84/G23</f>
        <v>6.0575645756457561</v>
      </c>
      <c r="Y85" s="14" t="s">
        <v>67</v>
      </c>
      <c r="Z85" s="798"/>
      <c r="AA85" s="196">
        <f>AA84/J23</f>
        <v>5.5459459459459453</v>
      </c>
      <c r="AB85" s="17" t="s">
        <v>67</v>
      </c>
      <c r="AC85" s="37"/>
      <c r="AO85" s="1395" t="s">
        <v>311</v>
      </c>
      <c r="AP85" s="1382" t="s">
        <v>310</v>
      </c>
      <c r="AQ85" s="1158"/>
      <c r="AR85" s="1383" t="s">
        <v>309</v>
      </c>
      <c r="AS85" s="32" t="s">
        <v>310</v>
      </c>
      <c r="AT85" s="754" t="s">
        <v>311</v>
      </c>
    </row>
    <row r="86" spans="1:47" ht="12.75" thickBot="1" x14ac:dyDescent="0.25">
      <c r="A86" s="14"/>
      <c r="B86" s="14"/>
      <c r="C86" s="14"/>
      <c r="D86" s="14"/>
      <c r="E86" s="14"/>
      <c r="F86" s="14"/>
      <c r="G86" s="14"/>
      <c r="H86" s="14"/>
      <c r="I86" s="14"/>
      <c r="J86" s="14"/>
      <c r="K86" s="14"/>
      <c r="L86" s="14"/>
      <c r="R86" s="37"/>
      <c r="S86" s="189"/>
      <c r="T86" s="798"/>
      <c r="U86" s="157"/>
      <c r="V86" s="33"/>
      <c r="W86" s="798"/>
      <c r="X86" s="157"/>
      <c r="Y86" s="33"/>
      <c r="Z86" s="798"/>
      <c r="AA86" s="157"/>
      <c r="AB86" s="1405"/>
      <c r="AC86" s="37"/>
      <c r="AO86" s="1395" t="s">
        <v>315</v>
      </c>
      <c r="AP86" s="1382" t="s">
        <v>314</v>
      </c>
      <c r="AQ86" s="1158"/>
      <c r="AR86" s="1383" t="s">
        <v>313</v>
      </c>
      <c r="AS86" s="32" t="s">
        <v>314</v>
      </c>
      <c r="AT86" s="754" t="s">
        <v>315</v>
      </c>
    </row>
    <row r="87" spans="1:47" ht="12.75" thickBot="1" x14ac:dyDescent="0.25">
      <c r="A87" s="14"/>
      <c r="B87" s="14"/>
      <c r="C87" s="14"/>
      <c r="D87" s="14"/>
      <c r="E87" s="14"/>
      <c r="F87" s="14"/>
      <c r="G87" s="14"/>
      <c r="H87" s="14"/>
      <c r="I87" s="14"/>
      <c r="J87" s="14"/>
      <c r="K87" s="14"/>
      <c r="L87" s="14"/>
      <c r="R87" s="37"/>
      <c r="S87" s="1017" t="s">
        <v>712</v>
      </c>
      <c r="T87" s="1031"/>
      <c r="U87" s="842"/>
      <c r="V87" s="1014"/>
      <c r="W87" s="1031"/>
      <c r="X87" s="842"/>
      <c r="Y87" s="1015"/>
      <c r="Z87" s="1031"/>
      <c r="AA87" s="842"/>
      <c r="AB87" s="1016"/>
      <c r="AC87" s="37"/>
      <c r="AO87" s="1395">
        <v>43180000</v>
      </c>
      <c r="AP87" s="1382">
        <v>547000</v>
      </c>
      <c r="AQ87" s="1158" t="s">
        <v>897</v>
      </c>
      <c r="AR87" s="1383">
        <f>(15*0.5*2+19*1.5+40*1.2)*0.785</f>
        <v>71.827500000000001</v>
      </c>
      <c r="AS87" s="32">
        <f>AP87</f>
        <v>547000</v>
      </c>
      <c r="AT87" s="754">
        <f>AP87</f>
        <v>547000</v>
      </c>
    </row>
    <row r="88" spans="1:47" x14ac:dyDescent="0.2">
      <c r="A88" s="14"/>
      <c r="B88" s="14"/>
      <c r="C88" s="14"/>
      <c r="D88" s="14"/>
      <c r="E88" s="14"/>
      <c r="F88" s="14"/>
      <c r="G88" s="14"/>
      <c r="H88" s="14"/>
      <c r="I88" s="14"/>
      <c r="J88" s="14"/>
      <c r="K88" s="14"/>
      <c r="L88" s="14"/>
      <c r="R88" s="37"/>
      <c r="S88" s="1018"/>
      <c r="T88" s="1807" t="s">
        <v>673</v>
      </c>
      <c r="U88" s="1808"/>
      <c r="V88" s="1809"/>
      <c r="W88" s="1807" t="s">
        <v>672</v>
      </c>
      <c r="X88" s="1808"/>
      <c r="Y88" s="1809"/>
      <c r="Z88" s="1807" t="s">
        <v>517</v>
      </c>
      <c r="AA88" s="1808"/>
      <c r="AB88" s="1809"/>
      <c r="AC88" s="37"/>
      <c r="AO88" s="1395">
        <v>64730000</v>
      </c>
      <c r="AP88" s="1382">
        <v>835000</v>
      </c>
      <c r="AQ88" s="1158" t="s">
        <v>898</v>
      </c>
      <c r="AR88" s="1383">
        <f>(15*0.5*2+24*1.5+45*1.5)*0.785</f>
        <v>93.022500000000008</v>
      </c>
      <c r="AS88" s="32">
        <f t="shared" ref="AS88:AS97" si="32">AP88</f>
        <v>835000</v>
      </c>
      <c r="AT88" s="754">
        <f t="shared" ref="AT88:AT97" si="33">AP88</f>
        <v>835000</v>
      </c>
    </row>
    <row r="89" spans="1:47" x14ac:dyDescent="0.2">
      <c r="A89" s="14"/>
      <c r="B89" s="14"/>
      <c r="C89" s="14"/>
      <c r="D89" s="14"/>
      <c r="E89" s="14"/>
      <c r="F89" s="14"/>
      <c r="G89" s="14"/>
      <c r="H89" s="14"/>
      <c r="I89" s="14"/>
      <c r="J89" s="14"/>
      <c r="K89" s="14"/>
      <c r="L89" s="14"/>
      <c r="R89" s="37"/>
      <c r="S89" s="997" t="s">
        <v>681</v>
      </c>
      <c r="T89" s="1026" t="str">
        <f>'01_ALGEMEEN'!$D$123</f>
        <v>gewalst staal S235</v>
      </c>
      <c r="U89" s="752">
        <f>VLOOKUP(T89,$M$3:$P$11,3,0)</f>
        <v>200</v>
      </c>
      <c r="V89" s="1002" t="s">
        <v>139</v>
      </c>
      <c r="W89" s="1026" t="str">
        <f>'01_ALGEMEEN'!$D$168</f>
        <v>gewalst staal S235</v>
      </c>
      <c r="X89" s="752">
        <f>VLOOKUP(W89,$M$3:$P$11,3,0)</f>
        <v>200</v>
      </c>
      <c r="Y89" s="1002" t="s">
        <v>139</v>
      </c>
      <c r="Z89" s="1026" t="str">
        <f>'01_ALGEMEEN'!$D$212</f>
        <v>gelamineerd hout</v>
      </c>
      <c r="AA89" s="752">
        <f>VLOOKUP(Z89,$M$3:$P$11,3,0)</f>
        <v>14</v>
      </c>
      <c r="AB89" s="1067" t="s">
        <v>139</v>
      </c>
      <c r="AC89" s="37"/>
      <c r="AO89" s="1395">
        <v>81010000</v>
      </c>
      <c r="AP89" s="1382">
        <v>1127000</v>
      </c>
      <c r="AQ89" s="1158" t="s">
        <v>899</v>
      </c>
      <c r="AR89" s="1383">
        <f>(15*0.5*2+29*2.5+50*1.5)*0.785</f>
        <v>127.5625</v>
      </c>
      <c r="AS89" s="32">
        <f t="shared" si="32"/>
        <v>1127000</v>
      </c>
      <c r="AT89" s="754">
        <f t="shared" si="33"/>
        <v>1127000</v>
      </c>
    </row>
    <row r="90" spans="1:47" x14ac:dyDescent="0.2">
      <c r="A90" s="14"/>
      <c r="B90" s="14"/>
      <c r="C90" s="14"/>
      <c r="D90" s="14"/>
      <c r="E90" s="14"/>
      <c r="F90" s="14"/>
      <c r="G90" s="14"/>
      <c r="H90" s="14"/>
      <c r="I90" s="14"/>
      <c r="J90" s="14"/>
      <c r="K90" s="14"/>
      <c r="L90" s="14"/>
      <c r="R90" s="37"/>
      <c r="S90" s="818" t="s">
        <v>283</v>
      </c>
      <c r="T90" s="1027" t="str">
        <f>'01_ALGEMEEN'!$D$123</f>
        <v>gewalst staal S235</v>
      </c>
      <c r="U90" s="190">
        <f>VLOOKUP(T90,$M$3:$P$11,4,0)</f>
        <v>210000</v>
      </c>
      <c r="V90" s="18" t="s">
        <v>139</v>
      </c>
      <c r="W90" s="1027" t="str">
        <f>'01_ALGEMEEN'!$D$168</f>
        <v>gewalst staal S235</v>
      </c>
      <c r="X90" s="190">
        <f>VLOOKUP(W90,$M$3:$P$11,4,0)</f>
        <v>210000</v>
      </c>
      <c r="Y90" s="18" t="s">
        <v>139</v>
      </c>
      <c r="Z90" s="1027" t="str">
        <f>'01_ALGEMEEN'!$D$212</f>
        <v>gelamineerd hout</v>
      </c>
      <c r="AA90" s="190">
        <f>VLOOKUP(Z90,$M$3:$P$11,4,0)</f>
        <v>11500</v>
      </c>
      <c r="AB90" s="25" t="s">
        <v>139</v>
      </c>
      <c r="AC90" s="37"/>
      <c r="AO90" s="1395">
        <v>90850000</v>
      </c>
      <c r="AP90" s="1382">
        <v>938000</v>
      </c>
      <c r="AQ90" s="1158" t="s">
        <v>900</v>
      </c>
      <c r="AR90" s="1383">
        <f>(20*0.5*2+19*2+42*1.2)*0.785</f>
        <v>85.094000000000008</v>
      </c>
      <c r="AS90" s="32">
        <f t="shared" si="32"/>
        <v>938000</v>
      </c>
      <c r="AT90" s="754">
        <f t="shared" si="33"/>
        <v>938000</v>
      </c>
      <c r="AU90" s="14"/>
    </row>
    <row r="91" spans="1:47" x14ac:dyDescent="0.2">
      <c r="A91" s="14"/>
      <c r="B91" s="14"/>
      <c r="C91" s="14"/>
      <c r="D91" s="14"/>
      <c r="E91" s="14"/>
      <c r="F91" s="14"/>
      <c r="G91" s="14"/>
      <c r="H91" s="14"/>
      <c r="I91" s="14"/>
      <c r="J91" s="14"/>
      <c r="K91" s="14"/>
      <c r="L91" s="14"/>
      <c r="R91" s="37"/>
      <c r="S91" s="818"/>
      <c r="T91" s="1025"/>
      <c r="U91" s="27"/>
      <c r="V91" s="28"/>
      <c r="W91" s="1025"/>
      <c r="X91" s="27"/>
      <c r="Y91" s="28"/>
      <c r="Z91" s="1025"/>
      <c r="AA91" s="27"/>
      <c r="AB91" s="193"/>
      <c r="AC91" s="37"/>
      <c r="AD91" s="14"/>
      <c r="AE91" s="14"/>
      <c r="AF91" s="14"/>
      <c r="AG91" s="14"/>
      <c r="AH91" s="14"/>
      <c r="AI91" s="14"/>
      <c r="AJ91" s="14"/>
      <c r="AK91" s="14"/>
      <c r="AO91" s="1395">
        <v>130920000</v>
      </c>
      <c r="AP91" s="1382">
        <v>1355000</v>
      </c>
      <c r="AQ91" s="1158" t="s">
        <v>901</v>
      </c>
      <c r="AR91" s="1383">
        <f>(20*0.5*2+24*2.5+47*1.5)*0.785</f>
        <v>118.1425</v>
      </c>
      <c r="AS91" s="32">
        <f t="shared" si="32"/>
        <v>1355000</v>
      </c>
      <c r="AT91" s="754">
        <f t="shared" si="33"/>
        <v>1355000</v>
      </c>
    </row>
    <row r="92" spans="1:47" x14ac:dyDescent="0.2">
      <c r="A92" s="14"/>
      <c r="B92" s="14"/>
      <c r="C92" s="14"/>
      <c r="D92" s="14"/>
      <c r="E92" s="14"/>
      <c r="F92" s="14"/>
      <c r="G92" s="14"/>
      <c r="H92" s="14"/>
      <c r="I92" s="14"/>
      <c r="J92" s="14"/>
      <c r="K92" s="14"/>
      <c r="L92" s="14"/>
      <c r="R92" s="37"/>
      <c r="S92" s="1023" t="s">
        <v>710</v>
      </c>
      <c r="T92" s="1025"/>
      <c r="U92" s="751">
        <f>$D$51*1000000/U89</f>
        <v>0</v>
      </c>
      <c r="V92" s="28" t="s">
        <v>355</v>
      </c>
      <c r="W92" s="1025"/>
      <c r="X92" s="751">
        <f>$G$51*1000000/X89</f>
        <v>0</v>
      </c>
      <c r="Y92" s="28" t="s">
        <v>355</v>
      </c>
      <c r="Z92" s="1025"/>
      <c r="AA92" s="751">
        <f>$J$51*1000000/AA89</f>
        <v>0</v>
      </c>
      <c r="AB92" s="193" t="s">
        <v>355</v>
      </c>
      <c r="AC92" s="37"/>
      <c r="AD92" s="14"/>
      <c r="AE92" s="14"/>
      <c r="AF92" s="14"/>
      <c r="AG92" s="14"/>
      <c r="AH92" s="14"/>
      <c r="AI92" s="14"/>
      <c r="AJ92" s="14"/>
      <c r="AK92" s="14"/>
      <c r="AO92" s="1395">
        <v>188610000</v>
      </c>
      <c r="AP92" s="1382">
        <v>1911000</v>
      </c>
      <c r="AQ92" s="1158" t="s">
        <v>902</v>
      </c>
      <c r="AR92" s="1383">
        <f>(20*0.5*2+29*3+52*2)*0.785</f>
        <v>165.63500000000002</v>
      </c>
      <c r="AS92" s="32">
        <f t="shared" si="32"/>
        <v>1911000</v>
      </c>
      <c r="AT92" s="754">
        <f t="shared" si="33"/>
        <v>1911000</v>
      </c>
    </row>
    <row r="93" spans="1:47" x14ac:dyDescent="0.2">
      <c r="A93" s="14"/>
      <c r="B93" s="14"/>
      <c r="C93" s="14"/>
      <c r="D93" s="14"/>
      <c r="E93" s="14"/>
      <c r="F93" s="14"/>
      <c r="G93" s="14"/>
      <c r="H93" s="14"/>
      <c r="I93" s="14"/>
      <c r="J93" s="14"/>
      <c r="K93" s="14"/>
      <c r="L93" s="14"/>
      <c r="R93" s="37"/>
      <c r="S93" s="748" t="s">
        <v>540</v>
      </c>
      <c r="T93" s="1027">
        <f>IF(U92=0,0,IF(U92&gt;$AW$6,(VLOOKUP(U92,$AW$6:$BE$40,2,TRUE)),$AX$6))</f>
        <v>0</v>
      </c>
      <c r="U93" s="27" t="s">
        <v>541</v>
      </c>
      <c r="V93" s="789">
        <f>IF(T93=0,0,MATCH(T93,$AX$6:$AX$40,0))</f>
        <v>0</v>
      </c>
      <c r="W93" s="1027">
        <f>IF(X92=0,0,IF(X92&gt;$AW$6,(VLOOKUP(X92,$AW$6:$BE$40,2,TRUE)),$AX$6))</f>
        <v>0</v>
      </c>
      <c r="X93" s="27" t="s">
        <v>541</v>
      </c>
      <c r="Y93" s="789">
        <f>IF(W93=0,0,MATCH(W93,$AX$6:$AX$40,0))</f>
        <v>0</v>
      </c>
      <c r="Z93" s="1027">
        <f>IF(AA92=0,0,IF(AA92&gt;$AW$6,(VLOOKUP(AA92,$AW$6:$BE$40,2,TRUE)),$AX$6))</f>
        <v>0</v>
      </c>
      <c r="AA93" s="27" t="s">
        <v>541</v>
      </c>
      <c r="AB93" s="856">
        <f>IF(Z93=0,0,MATCH(Z93,$AX$6:$AX$40,0))</f>
        <v>0</v>
      </c>
      <c r="AC93" s="37"/>
      <c r="AD93" s="14"/>
      <c r="AE93" s="14"/>
      <c r="AF93" s="14"/>
      <c r="AG93" s="14"/>
      <c r="AH93" s="14"/>
      <c r="AI93" s="14"/>
      <c r="AJ93" s="14"/>
      <c r="AK93" s="14"/>
      <c r="AO93" s="1395">
        <v>201780000</v>
      </c>
      <c r="AP93" s="1382">
        <v>1606000</v>
      </c>
      <c r="AQ93" s="1158" t="s">
        <v>903</v>
      </c>
      <c r="AR93" s="1383">
        <f>(26*0.6*2+19*2.5+45*1.5)*0.785</f>
        <v>114.767</v>
      </c>
      <c r="AS93" s="32">
        <f t="shared" si="32"/>
        <v>1606000</v>
      </c>
      <c r="AT93" s="754">
        <f t="shared" si="33"/>
        <v>1606000</v>
      </c>
    </row>
    <row r="94" spans="1:47" x14ac:dyDescent="0.2">
      <c r="A94" s="14"/>
      <c r="B94" s="14"/>
      <c r="C94" s="14"/>
      <c r="D94" s="14"/>
      <c r="E94" s="14"/>
      <c r="F94" s="14"/>
      <c r="G94" s="14"/>
      <c r="H94" s="14"/>
      <c r="I94" s="14"/>
      <c r="J94" s="14"/>
      <c r="K94" s="14"/>
      <c r="L94" s="14"/>
      <c r="R94" s="37"/>
      <c r="S94" s="748" t="s">
        <v>711</v>
      </c>
      <c r="T94" s="1025"/>
      <c r="U94" s="751">
        <f>(5*MAX($D$35:$D$37)*(1000*$D$12)^4/(384*U90*0.004*$D$12*1000))</f>
        <v>0</v>
      </c>
      <c r="V94" s="28" t="s">
        <v>356</v>
      </c>
      <c r="W94" s="1025"/>
      <c r="X94" s="751">
        <f>(5*MAX($G$35:$G$37)*(1000*$G$12)^4/(384*X90*0.004*$G$12*1000))</f>
        <v>0</v>
      </c>
      <c r="Y94" s="28" t="s">
        <v>356</v>
      </c>
      <c r="Z94" s="1025"/>
      <c r="AA94" s="751">
        <f>(5*MAX($J$35:$J$37)*(1000*$J$12)^4/(384*AA90*0.004*$J$12*1000))</f>
        <v>0</v>
      </c>
      <c r="AB94" s="193" t="s">
        <v>356</v>
      </c>
      <c r="AC94" s="37"/>
      <c r="AD94" s="14"/>
      <c r="AE94" s="198"/>
      <c r="AF94" s="33"/>
      <c r="AG94" s="33"/>
      <c r="AH94" s="33"/>
      <c r="AI94" s="33"/>
      <c r="AJ94" s="14"/>
      <c r="AK94" s="14"/>
      <c r="AO94" s="1395">
        <v>293570000</v>
      </c>
      <c r="AP94" s="1382">
        <v>2267000</v>
      </c>
      <c r="AQ94" s="1158" t="s">
        <v>904</v>
      </c>
      <c r="AR94" s="1383">
        <f>(26*0.6*2+24*3+50*2)*0.785</f>
        <v>159.512</v>
      </c>
      <c r="AS94" s="32">
        <f t="shared" si="32"/>
        <v>2267000</v>
      </c>
      <c r="AT94" s="754">
        <f t="shared" si="33"/>
        <v>2267000</v>
      </c>
    </row>
    <row r="95" spans="1:47" x14ac:dyDescent="0.2">
      <c r="A95" s="14"/>
      <c r="B95" s="14"/>
      <c r="C95" s="14"/>
      <c r="D95" s="14"/>
      <c r="E95" s="14"/>
      <c r="F95" s="14"/>
      <c r="G95" s="14"/>
      <c r="H95" s="14"/>
      <c r="I95" s="14"/>
      <c r="J95" s="14"/>
      <c r="K95" s="14"/>
      <c r="L95" s="14"/>
      <c r="R95" s="44"/>
      <c r="S95" s="748" t="s">
        <v>540</v>
      </c>
      <c r="T95" s="1027">
        <f>IF(U94=0,0,IF(U94&gt;$AV$6,VLOOKUP(U94,$AV$6:$BE$40,3,TRUE),$AX$6))</f>
        <v>0</v>
      </c>
      <c r="U95" s="27" t="s">
        <v>541</v>
      </c>
      <c r="V95" s="789">
        <f>IF(T95=0,0,MATCH(T95,$AX$6:$AX$40,0))</f>
        <v>0</v>
      </c>
      <c r="W95" s="1027">
        <f>IF(X94=0,0,IF(X94&gt;$AV$6,VLOOKUP(X94,$AV$6:$BE$40,3,TRUE),$AX$6))</f>
        <v>0</v>
      </c>
      <c r="X95" s="27" t="s">
        <v>541</v>
      </c>
      <c r="Y95" s="789">
        <f>IF(W95=0,0,MATCH(W95,$AX$6:$AX$40,0))</f>
        <v>0</v>
      </c>
      <c r="Z95" s="1027">
        <f>IF(AA94=0,0,IF(AA94&gt;$AV$6,VLOOKUP(AA94,$AV$6:$BE$40,3,TRUE),$AX$6))</f>
        <v>0</v>
      </c>
      <c r="AA95" s="27" t="s">
        <v>541</v>
      </c>
      <c r="AB95" s="856">
        <f>IF(Z95=0,0,MATCH(Z95,$AX$6:$AX$40,0))</f>
        <v>0</v>
      </c>
      <c r="AC95" s="44"/>
      <c r="AD95" s="14"/>
      <c r="AE95" s="198"/>
      <c r="AF95" s="33"/>
      <c r="AG95" s="33"/>
      <c r="AH95" s="33"/>
      <c r="AI95" s="33"/>
      <c r="AJ95" s="14"/>
      <c r="AK95" s="14"/>
      <c r="AO95" s="1395">
        <v>303200000</v>
      </c>
      <c r="AP95" s="1382">
        <v>2404000</v>
      </c>
      <c r="AQ95" s="1158" t="s">
        <v>905</v>
      </c>
      <c r="AR95" s="1383">
        <f>(26*0.6*2+29*3.5+55*1.5)*0.785</f>
        <v>168.93199999999999</v>
      </c>
      <c r="AS95" s="32">
        <f t="shared" si="32"/>
        <v>2404000</v>
      </c>
      <c r="AT95" s="754">
        <f t="shared" si="33"/>
        <v>2404000</v>
      </c>
    </row>
    <row r="96" spans="1:47" x14ac:dyDescent="0.2">
      <c r="A96" s="14"/>
      <c r="B96" s="14"/>
      <c r="C96" s="14"/>
      <c r="D96" s="14"/>
      <c r="E96" s="14"/>
      <c r="F96" s="14"/>
      <c r="G96" s="14"/>
      <c r="H96" s="14"/>
      <c r="I96" s="14"/>
      <c r="J96" s="14"/>
      <c r="K96" s="14"/>
      <c r="L96" s="14"/>
      <c r="R96" s="44"/>
      <c r="S96" s="748"/>
      <c r="T96" s="1025"/>
      <c r="U96" s="27"/>
      <c r="V96" s="28"/>
      <c r="W96" s="1025"/>
      <c r="X96" s="27"/>
      <c r="Y96" s="28"/>
      <c r="Z96" s="1025"/>
      <c r="AA96" s="27"/>
      <c r="AB96" s="193"/>
      <c r="AC96" s="44"/>
      <c r="AE96" s="198"/>
      <c r="AF96" s="33"/>
      <c r="AG96" s="33"/>
      <c r="AH96" s="33"/>
      <c r="AI96" s="33"/>
      <c r="AJ96" s="14"/>
      <c r="AK96" s="14"/>
      <c r="AO96" s="1395">
        <v>331580000</v>
      </c>
      <c r="AP96" s="1382">
        <v>2208000</v>
      </c>
      <c r="AQ96" s="1158" t="s">
        <v>906</v>
      </c>
      <c r="AR96" s="1383">
        <f>(32*0.8*2+19*2.5+47*1.5)*0.785</f>
        <v>132.822</v>
      </c>
      <c r="AS96" s="32">
        <f t="shared" si="32"/>
        <v>2208000</v>
      </c>
      <c r="AT96" s="754">
        <f t="shared" si="33"/>
        <v>2208000</v>
      </c>
    </row>
    <row r="97" spans="1:53" x14ac:dyDescent="0.2">
      <c r="A97" s="14"/>
      <c r="B97" s="14"/>
      <c r="C97" s="14"/>
      <c r="D97" s="14"/>
      <c r="E97" s="14"/>
      <c r="F97" s="14"/>
      <c r="G97" s="14"/>
      <c r="H97" s="14"/>
      <c r="I97" s="14"/>
      <c r="J97" s="14"/>
      <c r="K97" s="14"/>
      <c r="L97" s="14"/>
      <c r="R97" s="44"/>
      <c r="S97" s="748" t="s">
        <v>357</v>
      </c>
      <c r="T97" s="1027">
        <f>IF(V97=V93,T93,IF(V97=V95,T95))</f>
        <v>0</v>
      </c>
      <c r="U97" s="27" t="s">
        <v>541</v>
      </c>
      <c r="V97" s="789">
        <f>MAX(V93,V95)</f>
        <v>0</v>
      </c>
      <c r="W97" s="1027">
        <f>IF(Y97=Y93,W93,IF(Y97=Y95,W95))</f>
        <v>0</v>
      </c>
      <c r="X97" s="27" t="s">
        <v>541</v>
      </c>
      <c r="Y97" s="789">
        <f>MAX(Y93,Y95)</f>
        <v>0</v>
      </c>
      <c r="Z97" s="1027">
        <f>IF(AB97=AB93,Z93,IF(AB97=AB95,Z95))</f>
        <v>0</v>
      </c>
      <c r="AA97" s="27" t="s">
        <v>541</v>
      </c>
      <c r="AB97" s="856">
        <f>MAX(AB93,AB95)</f>
        <v>0</v>
      </c>
      <c r="AC97" s="44"/>
      <c r="AF97" s="33"/>
      <c r="AG97" s="33"/>
      <c r="AH97" s="33"/>
      <c r="AI97" s="33"/>
      <c r="AJ97" s="14"/>
      <c r="AK97" s="14"/>
      <c r="AO97" s="1395">
        <v>384140000</v>
      </c>
      <c r="AP97" s="1382">
        <v>2550000</v>
      </c>
      <c r="AQ97" s="1158" t="s">
        <v>907</v>
      </c>
      <c r="AR97" s="1383">
        <f>(32*0.8*2+24*3+52*1.5)*0.785</f>
        <v>157.94200000000001</v>
      </c>
      <c r="AS97" s="32">
        <f t="shared" si="32"/>
        <v>2550000</v>
      </c>
      <c r="AT97" s="754">
        <f t="shared" si="33"/>
        <v>2550000</v>
      </c>
    </row>
    <row r="98" spans="1:53" x14ac:dyDescent="0.2">
      <c r="A98" s="14"/>
      <c r="B98" s="14"/>
      <c r="C98" s="14"/>
      <c r="D98" s="14"/>
      <c r="E98" s="14"/>
      <c r="F98" s="14"/>
      <c r="G98" s="14"/>
      <c r="H98" s="14"/>
      <c r="I98" s="14"/>
      <c r="J98" s="14"/>
      <c r="K98" s="14"/>
      <c r="L98" s="14"/>
      <c r="R98" s="42"/>
      <c r="S98" s="748" t="s">
        <v>542</v>
      </c>
      <c r="T98" s="798"/>
      <c r="U98" s="750">
        <f>IF(T97=0,0,VLOOKUP(T97,$AX$6:$BC$40,6,0))</f>
        <v>0</v>
      </c>
      <c r="V98" s="33" t="s">
        <v>66</v>
      </c>
      <c r="W98" s="798"/>
      <c r="X98" s="750">
        <f>IF(W97=0,0,VLOOKUP(W97,$AX$6:$BC$40,6,0))</f>
        <v>0</v>
      </c>
      <c r="Y98" s="33" t="s">
        <v>66</v>
      </c>
      <c r="Z98" s="798"/>
      <c r="AA98" s="750">
        <f>IF(Z97=0,0,VLOOKUP(Z97,$AX$6:$BC$40,6,0))</f>
        <v>0</v>
      </c>
      <c r="AB98" s="192" t="s">
        <v>66</v>
      </c>
      <c r="AC98" s="42"/>
      <c r="AF98" s="33"/>
      <c r="AG98" s="33"/>
      <c r="AH98" s="33"/>
      <c r="AI98" s="33"/>
      <c r="AJ98" s="14"/>
      <c r="AK98" s="14"/>
      <c r="AO98" s="1395">
        <v>538950000</v>
      </c>
      <c r="AP98" s="1382">
        <v>3495000</v>
      </c>
      <c r="AQ98" s="1158" t="s">
        <v>908</v>
      </c>
      <c r="AR98" s="1383">
        <f>(32*0.8*2+29*3+57*2)*0.785</f>
        <v>197.977</v>
      </c>
      <c r="AS98" s="32">
        <f>AP98</f>
        <v>3495000</v>
      </c>
      <c r="AT98" s="754">
        <f>AP98</f>
        <v>3495000</v>
      </c>
    </row>
    <row r="99" spans="1:53" x14ac:dyDescent="0.2">
      <c r="A99" s="14"/>
      <c r="B99" s="14"/>
      <c r="C99" s="14"/>
      <c r="D99" s="14"/>
      <c r="E99" s="14"/>
      <c r="F99" s="14"/>
      <c r="G99" s="14"/>
      <c r="H99" s="14"/>
      <c r="I99" s="14"/>
      <c r="J99" s="14"/>
      <c r="K99" s="14"/>
      <c r="L99" s="14"/>
      <c r="M99" s="22"/>
      <c r="N99" s="18"/>
      <c r="O99" s="18"/>
      <c r="P99" s="18"/>
      <c r="Q99" s="18"/>
      <c r="R99" s="47"/>
      <c r="S99" s="748"/>
      <c r="T99" s="1025"/>
      <c r="U99" s="27"/>
      <c r="V99" s="28"/>
      <c r="W99" s="1025"/>
      <c r="X99" s="27"/>
      <c r="Y99" s="28"/>
      <c r="Z99" s="1025"/>
      <c r="AA99" s="27"/>
      <c r="AB99" s="193"/>
      <c r="AC99" s="47"/>
      <c r="AF99" s="14"/>
      <c r="AG99" s="14"/>
      <c r="AH99" s="14"/>
      <c r="AI99" s="14"/>
      <c r="AJ99" s="14"/>
      <c r="AK99" s="14"/>
      <c r="AO99" s="1377">
        <v>650000000</v>
      </c>
      <c r="AP99" s="999">
        <v>4500000</v>
      </c>
      <c r="AQ99" s="999" t="s">
        <v>924</v>
      </c>
      <c r="AR99" s="1383">
        <v>250</v>
      </c>
      <c r="AS99" s="32">
        <f>AP99</f>
        <v>4500000</v>
      </c>
      <c r="AT99" s="754">
        <f>AP99</f>
        <v>4500000</v>
      </c>
    </row>
    <row r="100" spans="1:53" ht="12.75" x14ac:dyDescent="0.2">
      <c r="A100" s="14"/>
      <c r="B100" s="14"/>
      <c r="C100" s="14"/>
      <c r="D100" s="14"/>
      <c r="E100" s="14"/>
      <c r="F100" s="14"/>
      <c r="G100" s="14"/>
      <c r="H100" s="14"/>
      <c r="I100" s="14"/>
      <c r="J100" s="14"/>
      <c r="K100" s="14"/>
      <c r="L100" s="14"/>
      <c r="M100" s="22"/>
      <c r="N100" s="18"/>
      <c r="O100" s="18"/>
      <c r="P100" s="18"/>
      <c r="Q100" s="18"/>
      <c r="R100" s="47"/>
      <c r="S100" s="189" t="s">
        <v>1207</v>
      </c>
      <c r="T100" s="1025"/>
      <c r="U100" s="750">
        <f>U98*D22</f>
        <v>0</v>
      </c>
      <c r="V100" s="14" t="s">
        <v>104</v>
      </c>
      <c r="W100" s="1025"/>
      <c r="X100" s="750">
        <f>X98*G22</f>
        <v>0</v>
      </c>
      <c r="Y100" s="14" t="s">
        <v>104</v>
      </c>
      <c r="Z100" s="1025"/>
      <c r="AA100" s="750">
        <f>AA98*J22</f>
        <v>0</v>
      </c>
      <c r="AB100" s="14" t="s">
        <v>104</v>
      </c>
      <c r="AC100" s="1824"/>
      <c r="AD100" s="14"/>
      <c r="AE100" s="14"/>
      <c r="AF100" s="14"/>
      <c r="AG100" s="14"/>
      <c r="AH100" s="14"/>
      <c r="AI100" s="14"/>
      <c r="AJ100" s="14"/>
      <c r="AK100" s="14"/>
      <c r="AO100" s="1395"/>
      <c r="AP100" s="1382"/>
      <c r="AQ100" s="1158"/>
      <c r="AR100" s="1383"/>
      <c r="AS100" s="32"/>
      <c r="AT100" s="754"/>
      <c r="AX100"/>
      <c r="AY100"/>
      <c r="AZ100"/>
      <c r="BA100"/>
    </row>
    <row r="101" spans="1:53" ht="12.75" x14ac:dyDescent="0.2">
      <c r="A101" s="14"/>
      <c r="B101" s="14"/>
      <c r="C101" s="14"/>
      <c r="D101" s="14"/>
      <c r="E101" s="14"/>
      <c r="F101" s="14"/>
      <c r="G101" s="14"/>
      <c r="H101" s="14"/>
      <c r="I101" s="14"/>
      <c r="J101" s="14"/>
      <c r="K101" s="14"/>
      <c r="L101" s="14"/>
      <c r="M101" s="18"/>
      <c r="N101" s="18"/>
      <c r="O101" s="18"/>
      <c r="P101" s="18"/>
      <c r="Q101" s="18"/>
      <c r="R101" s="18"/>
      <c r="S101" s="1825" t="s">
        <v>1208</v>
      </c>
      <c r="T101" s="1647"/>
      <c r="U101" s="839">
        <f>U100/D23</f>
        <v>0</v>
      </c>
      <c r="V101" s="20" t="s">
        <v>67</v>
      </c>
      <c r="W101" s="800"/>
      <c r="X101" s="839">
        <f>X100/G23</f>
        <v>0</v>
      </c>
      <c r="Y101" s="20" t="s">
        <v>67</v>
      </c>
      <c r="Z101" s="800"/>
      <c r="AA101" s="839">
        <f>AA100/J23</f>
        <v>0</v>
      </c>
      <c r="AB101" s="21" t="s">
        <v>67</v>
      </c>
      <c r="AC101" s="18"/>
      <c r="AD101" s="14"/>
      <c r="AE101" s="14"/>
      <c r="AF101" s="14"/>
      <c r="AG101" s="14"/>
      <c r="AH101" s="14"/>
      <c r="AI101" s="14"/>
      <c r="AJ101" s="14"/>
      <c r="AK101" s="14"/>
      <c r="AO101" s="1385" t="s">
        <v>910</v>
      </c>
      <c r="AP101" s="1386"/>
      <c r="AQ101" s="1387"/>
      <c r="AR101" s="1386"/>
      <c r="AS101" s="1388"/>
      <c r="AT101" s="1389"/>
      <c r="AX101"/>
      <c r="AY101"/>
      <c r="AZ101"/>
      <c r="BA101"/>
    </row>
    <row r="102" spans="1:53" ht="13.5" thickBot="1" x14ac:dyDescent="0.25">
      <c r="A102" s="14"/>
      <c r="B102" s="14"/>
      <c r="C102" s="14"/>
      <c r="D102" s="14"/>
      <c r="E102" s="14"/>
      <c r="F102" s="14"/>
      <c r="G102" s="14"/>
      <c r="H102" s="14"/>
      <c r="I102" s="14"/>
      <c r="J102" s="14"/>
      <c r="K102" s="14"/>
      <c r="L102" s="14"/>
      <c r="M102" s="203"/>
      <c r="N102" s="18"/>
      <c r="O102" s="18"/>
      <c r="P102" s="18"/>
      <c r="Q102" s="18"/>
      <c r="R102" s="18"/>
      <c r="AC102" s="18"/>
      <c r="AO102" s="1377" t="s">
        <v>311</v>
      </c>
      <c r="AP102" s="999" t="s">
        <v>310</v>
      </c>
      <c r="AQ102" s="999"/>
      <c r="AR102" s="1378" t="s">
        <v>309</v>
      </c>
      <c r="AS102" s="999" t="s">
        <v>310</v>
      </c>
      <c r="AT102" s="1376" t="s">
        <v>311</v>
      </c>
      <c r="AX102"/>
      <c r="AY102"/>
      <c r="AZ102"/>
      <c r="BA102"/>
    </row>
    <row r="103" spans="1:53" ht="13.5" thickBot="1" x14ac:dyDescent="0.25">
      <c r="A103" s="14"/>
      <c r="B103" s="14"/>
      <c r="C103" s="14"/>
      <c r="D103" s="14"/>
      <c r="E103" s="14"/>
      <c r="F103" s="14"/>
      <c r="G103" s="14"/>
      <c r="H103" s="14"/>
      <c r="I103" s="14"/>
      <c r="J103" s="14"/>
      <c r="K103" s="14"/>
      <c r="L103" s="14"/>
      <c r="M103" s="18"/>
      <c r="N103" s="18"/>
      <c r="O103" s="18"/>
      <c r="P103" s="18"/>
      <c r="Q103" s="18"/>
      <c r="R103" s="18"/>
      <c r="S103" s="1017" t="s">
        <v>1045</v>
      </c>
      <c r="T103" s="1031"/>
      <c r="U103" s="842"/>
      <c r="V103" s="1014"/>
      <c r="W103" s="1031"/>
      <c r="X103" s="842"/>
      <c r="Y103" s="1015"/>
      <c r="Z103" s="1031"/>
      <c r="AA103" s="842"/>
      <c r="AB103" s="1016"/>
      <c r="AC103" s="18"/>
      <c r="AO103" s="1377" t="s">
        <v>315</v>
      </c>
      <c r="AP103" s="999" t="s">
        <v>314</v>
      </c>
      <c r="AQ103" s="999"/>
      <c r="AR103" s="1378" t="s">
        <v>313</v>
      </c>
      <c r="AS103" s="999" t="s">
        <v>314</v>
      </c>
      <c r="AT103" s="1376" t="s">
        <v>315</v>
      </c>
      <c r="AX103"/>
      <c r="AY103"/>
      <c r="AZ103"/>
      <c r="BA103"/>
    </row>
    <row r="104" spans="1:53" ht="12.75" x14ac:dyDescent="0.2">
      <c r="A104" s="14"/>
      <c r="B104" s="14"/>
      <c r="C104" s="14"/>
      <c r="D104" s="14"/>
      <c r="E104" s="14"/>
      <c r="F104" s="14"/>
      <c r="G104" s="14"/>
      <c r="H104" s="14"/>
      <c r="I104" s="14"/>
      <c r="J104" s="14"/>
      <c r="K104" s="14"/>
      <c r="L104" s="14"/>
      <c r="M104" s="23"/>
      <c r="N104" s="23"/>
      <c r="O104" s="23"/>
      <c r="P104" s="23"/>
      <c r="Q104" s="23"/>
      <c r="R104" s="18"/>
      <c r="S104" s="1727"/>
      <c r="T104" s="1810" t="s">
        <v>673</v>
      </c>
      <c r="U104" s="1811"/>
      <c r="V104" s="1812"/>
      <c r="W104" s="1810" t="s">
        <v>672</v>
      </c>
      <c r="X104" s="1811"/>
      <c r="Y104" s="1812"/>
      <c r="Z104" s="1810" t="s">
        <v>517</v>
      </c>
      <c r="AA104" s="1811"/>
      <c r="AB104" s="1812"/>
      <c r="AC104" s="18"/>
      <c r="AO104" s="1395">
        <v>2580000</v>
      </c>
      <c r="AP104" s="1382">
        <v>316000</v>
      </c>
      <c r="AQ104" s="1158" t="s">
        <v>911</v>
      </c>
      <c r="AR104" s="1383">
        <f>33.8+(34*1*0.785)</f>
        <v>60.489999999999995</v>
      </c>
      <c r="AS104" s="32">
        <f>AP104</f>
        <v>316000</v>
      </c>
      <c r="AT104" s="754">
        <f>AO104</f>
        <v>2580000</v>
      </c>
      <c r="AX104"/>
      <c r="AY104"/>
      <c r="AZ104"/>
      <c r="BA104"/>
    </row>
    <row r="105" spans="1:53" ht="12.75" x14ac:dyDescent="0.2">
      <c r="A105" s="14"/>
      <c r="B105" s="14"/>
      <c r="C105" s="14"/>
      <c r="D105" s="14"/>
      <c r="E105" s="14"/>
      <c r="F105" s="14"/>
      <c r="G105" s="14"/>
      <c r="H105" s="14"/>
      <c r="I105" s="14"/>
      <c r="J105" s="14"/>
      <c r="K105" s="14"/>
      <c r="L105" s="14"/>
      <c r="M105" s="23"/>
      <c r="N105" s="23"/>
      <c r="O105" s="23"/>
      <c r="P105" s="23"/>
      <c r="Q105" s="23"/>
      <c r="R105" s="18"/>
      <c r="S105" s="997" t="s">
        <v>681</v>
      </c>
      <c r="T105" s="752"/>
      <c r="U105" s="1003">
        <v>300</v>
      </c>
      <c r="V105" s="998" t="s">
        <v>139</v>
      </c>
      <c r="W105" s="1003"/>
      <c r="X105" s="1003">
        <v>300</v>
      </c>
      <c r="Y105" s="998" t="s">
        <v>139</v>
      </c>
      <c r="Z105" s="1003"/>
      <c r="AA105" s="1003">
        <v>300</v>
      </c>
      <c r="AB105" s="1729" t="s">
        <v>139</v>
      </c>
      <c r="AC105" s="18"/>
      <c r="AO105" s="1395">
        <v>3257000</v>
      </c>
      <c r="AP105" s="1382">
        <v>334000</v>
      </c>
      <c r="AQ105" s="1158" t="s">
        <v>912</v>
      </c>
      <c r="AR105" s="1383">
        <f>30.5+(36*1.5*0.785)</f>
        <v>72.89</v>
      </c>
      <c r="AS105" s="32">
        <f t="shared" ref="AS105:AS114" si="34">AP105</f>
        <v>334000</v>
      </c>
      <c r="AT105" s="754">
        <f t="shared" ref="AT105:AT114" si="35">AO105</f>
        <v>3257000</v>
      </c>
      <c r="AX105"/>
      <c r="AY105"/>
      <c r="AZ105"/>
      <c r="BA105"/>
    </row>
    <row r="106" spans="1:53" ht="12.75" x14ac:dyDescent="0.2">
      <c r="A106" s="14"/>
      <c r="B106" s="14"/>
      <c r="C106" s="14"/>
      <c r="D106" s="14"/>
      <c r="E106" s="14"/>
      <c r="F106" s="14"/>
      <c r="G106" s="14"/>
      <c r="H106" s="14"/>
      <c r="I106" s="14"/>
      <c r="J106" s="14"/>
      <c r="K106" s="14"/>
      <c r="L106" s="14"/>
      <c r="M106" s="23"/>
      <c r="N106" s="23"/>
      <c r="O106" s="23"/>
      <c r="P106" s="23"/>
      <c r="Q106" s="23"/>
      <c r="R106" s="48"/>
      <c r="S106" s="15" t="s">
        <v>1046</v>
      </c>
      <c r="T106" s="14"/>
      <c r="U106" s="1001">
        <f>D46</f>
        <v>398.1422</v>
      </c>
      <c r="V106" s="14" t="s">
        <v>92</v>
      </c>
      <c r="W106" s="14"/>
      <c r="X106" s="1001">
        <f>G46</f>
        <v>432.8297</v>
      </c>
      <c r="Y106" s="14" t="s">
        <v>92</v>
      </c>
      <c r="Z106" s="14"/>
      <c r="AA106" s="1001">
        <f>J46</f>
        <v>395.16</v>
      </c>
      <c r="AB106" s="17" t="s">
        <v>92</v>
      </c>
      <c r="AC106" s="48"/>
      <c r="AN106" s="14"/>
      <c r="AO106" s="1395">
        <v>5022000</v>
      </c>
      <c r="AP106" s="1382">
        <v>504000</v>
      </c>
      <c r="AQ106" s="1158" t="s">
        <v>913</v>
      </c>
      <c r="AR106" s="1383">
        <f>42.7+(36*2*0.785)</f>
        <v>99.22</v>
      </c>
      <c r="AS106" s="32">
        <f t="shared" si="34"/>
        <v>504000</v>
      </c>
      <c r="AT106" s="754">
        <f t="shared" si="35"/>
        <v>5022000</v>
      </c>
      <c r="AX106"/>
      <c r="AY106"/>
      <c r="AZ106"/>
      <c r="BA106"/>
    </row>
    <row r="107" spans="1:53" ht="12.75" x14ac:dyDescent="0.2">
      <c r="A107" s="14"/>
      <c r="B107" s="14"/>
      <c r="C107" s="14"/>
      <c r="D107" s="14"/>
      <c r="E107" s="14"/>
      <c r="F107" s="14"/>
      <c r="G107" s="14"/>
      <c r="H107" s="14"/>
      <c r="I107" s="14"/>
      <c r="J107" s="14"/>
      <c r="K107" s="14"/>
      <c r="L107" s="14"/>
      <c r="M107" s="22"/>
      <c r="N107" s="23"/>
      <c r="O107" s="23"/>
      <c r="P107" s="23"/>
      <c r="Q107" s="23"/>
      <c r="R107" s="18"/>
      <c r="S107" s="15" t="s">
        <v>1047</v>
      </c>
      <c r="T107" s="14"/>
      <c r="U107" s="1723">
        <f>MAX(D43:D45)</f>
        <v>31.851376000000002</v>
      </c>
      <c r="V107" s="14" t="s">
        <v>269</v>
      </c>
      <c r="W107" s="14"/>
      <c r="X107" s="1723">
        <f>MAX(G43:G45)</f>
        <v>34.626376</v>
      </c>
      <c r="Y107" s="14" t="s">
        <v>269</v>
      </c>
      <c r="Z107" s="14"/>
      <c r="AA107" s="1723">
        <f>MAX(J43:J45)</f>
        <v>31.612800000000004</v>
      </c>
      <c r="AB107" s="17" t="s">
        <v>269</v>
      </c>
      <c r="AC107" s="18"/>
      <c r="AO107" s="1395">
        <v>6386000</v>
      </c>
      <c r="AP107" s="1382">
        <v>612000</v>
      </c>
      <c r="AQ107" s="1158" t="s">
        <v>914</v>
      </c>
      <c r="AR107" s="1383">
        <f>51.3+(40*1.2*0.785)</f>
        <v>88.97999999999999</v>
      </c>
      <c r="AS107" s="32">
        <f t="shared" si="34"/>
        <v>612000</v>
      </c>
      <c r="AT107" s="754">
        <f t="shared" si="35"/>
        <v>6386000</v>
      </c>
      <c r="AX107"/>
      <c r="AY107"/>
      <c r="AZ107"/>
      <c r="BA107"/>
    </row>
    <row r="108" spans="1:53" ht="12.75" x14ac:dyDescent="0.2">
      <c r="A108" s="14"/>
      <c r="B108" s="14"/>
      <c r="C108" s="14"/>
      <c r="D108" s="14"/>
      <c r="E108" s="14"/>
      <c r="F108" s="14"/>
      <c r="G108" s="14"/>
      <c r="H108" s="14"/>
      <c r="I108" s="14"/>
      <c r="J108" s="14"/>
      <c r="K108" s="14"/>
      <c r="L108" s="14"/>
      <c r="M108" s="22"/>
      <c r="N108" s="18"/>
      <c r="O108" s="18"/>
      <c r="P108" s="18"/>
      <c r="Q108" s="18"/>
      <c r="R108" s="18"/>
      <c r="S108" s="15" t="s">
        <v>1049</v>
      </c>
      <c r="T108" s="14"/>
      <c r="U108" s="16">
        <f>D11</f>
        <v>10</v>
      </c>
      <c r="V108" s="14" t="s">
        <v>17</v>
      </c>
      <c r="W108" s="14"/>
      <c r="X108" s="16">
        <f>G11</f>
        <v>10</v>
      </c>
      <c r="Y108" s="14" t="s">
        <v>17</v>
      </c>
      <c r="Z108" s="14"/>
      <c r="AA108" s="16">
        <f>J11</f>
        <v>10</v>
      </c>
      <c r="AB108" s="17" t="s">
        <v>17</v>
      </c>
      <c r="AC108" s="18"/>
      <c r="AO108" s="1395">
        <v>9144000</v>
      </c>
      <c r="AP108" s="1382">
        <v>802000</v>
      </c>
      <c r="AQ108" s="1158" t="s">
        <v>915</v>
      </c>
      <c r="AR108" s="1383">
        <f>61.3+(42*1.2*0.785)</f>
        <v>100.864</v>
      </c>
      <c r="AS108" s="32">
        <f t="shared" si="34"/>
        <v>802000</v>
      </c>
      <c r="AT108" s="754">
        <f t="shared" si="35"/>
        <v>9144000</v>
      </c>
      <c r="AX108"/>
      <c r="AY108"/>
      <c r="AZ108"/>
      <c r="BA108"/>
    </row>
    <row r="109" spans="1:53" ht="12.75" x14ac:dyDescent="0.2">
      <c r="A109" s="14"/>
      <c r="B109" s="14"/>
      <c r="C109" s="14"/>
      <c r="D109" s="14"/>
      <c r="E109" s="14"/>
      <c r="F109" s="14"/>
      <c r="G109" s="14"/>
      <c r="H109" s="14"/>
      <c r="I109" s="14"/>
      <c r="J109" s="14"/>
      <c r="K109" s="14"/>
      <c r="L109" s="14"/>
      <c r="M109" s="22"/>
      <c r="N109" s="18"/>
      <c r="O109" s="18"/>
      <c r="P109" s="18"/>
      <c r="Q109" s="18"/>
      <c r="R109" s="18"/>
      <c r="S109" s="15" t="s">
        <v>686</v>
      </c>
      <c r="T109" s="14"/>
      <c r="U109" s="16">
        <f>D10</f>
        <v>3.7</v>
      </c>
      <c r="V109" s="14" t="s">
        <v>17</v>
      </c>
      <c r="W109" s="14"/>
      <c r="X109" s="16">
        <f>G10</f>
        <v>3.7</v>
      </c>
      <c r="Y109" s="14" t="s">
        <v>17</v>
      </c>
      <c r="Z109" s="14"/>
      <c r="AA109" s="16">
        <f>J10</f>
        <v>3.7</v>
      </c>
      <c r="AB109" s="17" t="s">
        <v>17</v>
      </c>
      <c r="AC109" s="18"/>
      <c r="AO109" s="1395">
        <v>14564000</v>
      </c>
      <c r="AP109" s="1382">
        <v>1089000</v>
      </c>
      <c r="AQ109" s="1158" t="s">
        <v>916</v>
      </c>
      <c r="AR109" s="1383">
        <f>71.5+(44*2*0.785)</f>
        <v>140.57999999999998</v>
      </c>
      <c r="AS109" s="32">
        <f t="shared" si="34"/>
        <v>1089000</v>
      </c>
      <c r="AT109" s="754">
        <f t="shared" si="35"/>
        <v>14564000</v>
      </c>
      <c r="AX109"/>
      <c r="AY109"/>
      <c r="AZ109"/>
      <c r="BA109"/>
    </row>
    <row r="110" spans="1:53" ht="12.75" x14ac:dyDescent="0.2">
      <c r="A110" s="14"/>
      <c r="B110" s="14"/>
      <c r="C110" s="14"/>
      <c r="D110" s="14"/>
      <c r="E110" s="14"/>
      <c r="F110" s="14"/>
      <c r="G110" s="14"/>
      <c r="H110" s="14"/>
      <c r="I110" s="14"/>
      <c r="J110" s="14"/>
      <c r="K110" s="14"/>
      <c r="L110" s="14"/>
      <c r="M110" s="22"/>
      <c r="N110" s="18"/>
      <c r="O110" s="18"/>
      <c r="P110" s="18"/>
      <c r="Q110" s="18"/>
      <c r="R110" s="18"/>
      <c r="S110" s="1034" t="s">
        <v>1048</v>
      </c>
      <c r="T110" s="848"/>
      <c r="U110" s="848"/>
      <c r="V110" s="848"/>
      <c r="W110" s="848"/>
      <c r="X110" s="848"/>
      <c r="Y110" s="848"/>
      <c r="Z110" s="848"/>
      <c r="AA110" s="848"/>
      <c r="AB110" s="923"/>
      <c r="AC110" s="18"/>
      <c r="AO110" s="1395">
        <v>18243000</v>
      </c>
      <c r="AP110" s="1382">
        <v>1314000</v>
      </c>
      <c r="AQ110" s="1158" t="s">
        <v>917</v>
      </c>
      <c r="AR110" s="1383">
        <f>83.3+(48*1.5*0.785)</f>
        <v>139.82</v>
      </c>
      <c r="AS110" s="32">
        <f t="shared" si="34"/>
        <v>1314000</v>
      </c>
      <c r="AT110" s="754">
        <f t="shared" si="35"/>
        <v>18243000</v>
      </c>
      <c r="AX110"/>
      <c r="AY110"/>
      <c r="AZ110"/>
      <c r="BA110"/>
    </row>
    <row r="111" spans="1:53" ht="12.75" x14ac:dyDescent="0.2">
      <c r="A111" s="14"/>
      <c r="B111" s="14"/>
      <c r="C111" s="14"/>
      <c r="D111" s="14"/>
      <c r="E111" s="14"/>
      <c r="F111" s="14"/>
      <c r="G111" s="14"/>
      <c r="H111" s="14"/>
      <c r="I111" s="14"/>
      <c r="J111" s="14"/>
      <c r="K111" s="14"/>
      <c r="L111" s="14"/>
      <c r="M111" s="18"/>
      <c r="N111" s="18"/>
      <c r="O111" s="18"/>
      <c r="P111" s="18"/>
      <c r="Q111" s="18"/>
      <c r="R111" s="18"/>
      <c r="S111" s="15" t="s">
        <v>1051</v>
      </c>
      <c r="T111" s="14"/>
      <c r="U111" s="16">
        <f>U108*(1/15)</f>
        <v>0.66666666666666663</v>
      </c>
      <c r="V111" s="14" t="s">
        <v>17</v>
      </c>
      <c r="W111" s="14"/>
      <c r="X111" s="16">
        <f>X108*(1/15)</f>
        <v>0.66666666666666663</v>
      </c>
      <c r="Y111" s="14" t="s">
        <v>17</v>
      </c>
      <c r="Z111" s="14"/>
      <c r="AA111" s="16">
        <f>AA108*(1/15)</f>
        <v>0.66666666666666663</v>
      </c>
      <c r="AB111" s="17" t="s">
        <v>17</v>
      </c>
      <c r="AC111" s="18"/>
      <c r="AO111" s="1395">
        <v>25580000</v>
      </c>
      <c r="AP111" s="1382">
        <v>1637000</v>
      </c>
      <c r="AQ111" s="1158" t="s">
        <v>918</v>
      </c>
      <c r="AR111" s="1383">
        <f>93+(50*2*0.785)</f>
        <v>171.5</v>
      </c>
      <c r="AS111" s="32">
        <f t="shared" si="34"/>
        <v>1637000</v>
      </c>
      <c r="AT111" s="754">
        <f t="shared" si="35"/>
        <v>25580000</v>
      </c>
      <c r="AX111"/>
      <c r="AY111"/>
      <c r="AZ111"/>
      <c r="BA111"/>
    </row>
    <row r="112" spans="1:53" ht="12.75" x14ac:dyDescent="0.2">
      <c r="A112" s="14"/>
      <c r="B112" s="14"/>
      <c r="C112" s="14"/>
      <c r="D112" s="14"/>
      <c r="E112" s="14"/>
      <c r="F112" s="14"/>
      <c r="G112" s="14"/>
      <c r="H112" s="14"/>
      <c r="I112" s="14"/>
      <c r="J112" s="14"/>
      <c r="K112" s="14"/>
      <c r="L112" s="14"/>
      <c r="M112" s="203"/>
      <c r="N112" s="18"/>
      <c r="O112" s="18"/>
      <c r="P112" s="18"/>
      <c r="Q112" s="18"/>
      <c r="R112" s="18"/>
      <c r="S112" s="15" t="s">
        <v>1050</v>
      </c>
      <c r="T112" s="14"/>
      <c r="U112" s="1001">
        <f>U106/U111</f>
        <v>597.2133</v>
      </c>
      <c r="V112" s="14" t="s">
        <v>82</v>
      </c>
      <c r="W112" s="14"/>
      <c r="X112" s="1001">
        <f>X106/X111</f>
        <v>649.24455</v>
      </c>
      <c r="Y112" s="14" t="s">
        <v>82</v>
      </c>
      <c r="Z112" s="14"/>
      <c r="AA112" s="1001">
        <f>AA106/AA111</f>
        <v>592.74000000000012</v>
      </c>
      <c r="AB112" s="17" t="s">
        <v>82</v>
      </c>
      <c r="AC112" s="18"/>
      <c r="AO112" s="1395">
        <v>34533000</v>
      </c>
      <c r="AP112" s="1382">
        <v>2002000</v>
      </c>
      <c r="AQ112" s="1158" t="s">
        <v>919</v>
      </c>
      <c r="AR112" s="1383">
        <f>103.2+(52*2.5*0.785)</f>
        <v>205.25</v>
      </c>
      <c r="AS112" s="32">
        <f t="shared" si="34"/>
        <v>2002000</v>
      </c>
      <c r="AT112" s="754">
        <f t="shared" si="35"/>
        <v>34533000</v>
      </c>
      <c r="AX112"/>
      <c r="AY112"/>
      <c r="AZ112"/>
      <c r="BA112"/>
    </row>
    <row r="113" spans="1:53" ht="12.75" x14ac:dyDescent="0.2">
      <c r="A113" s="14"/>
      <c r="B113" s="14"/>
      <c r="C113" s="14"/>
      <c r="D113" s="14"/>
      <c r="E113" s="14"/>
      <c r="F113" s="14"/>
      <c r="G113" s="14"/>
      <c r="H113" s="14"/>
      <c r="I113" s="14"/>
      <c r="J113" s="14"/>
      <c r="K113" s="14"/>
      <c r="L113" s="14"/>
      <c r="M113" s="18"/>
      <c r="N113" s="18"/>
      <c r="O113" s="18"/>
      <c r="P113" s="18"/>
      <c r="Q113" s="18"/>
      <c r="R113" s="18"/>
      <c r="S113" s="15" t="s">
        <v>1052</v>
      </c>
      <c r="T113" s="14"/>
      <c r="U113" s="1001">
        <f>U112*1000/U$105</f>
        <v>1990.7110000000002</v>
      </c>
      <c r="V113" s="14" t="s">
        <v>128</v>
      </c>
      <c r="W113" s="14"/>
      <c r="X113" s="1001">
        <f>X112*1000/X$105</f>
        <v>2164.1485000000002</v>
      </c>
      <c r="Y113" s="14" t="s">
        <v>128</v>
      </c>
      <c r="Z113" s="14"/>
      <c r="AA113" s="1001">
        <f>AA112*1000/AA$105</f>
        <v>1975.8000000000004</v>
      </c>
      <c r="AB113" s="17" t="s">
        <v>128</v>
      </c>
      <c r="AC113" s="18"/>
      <c r="AO113" s="1395">
        <v>38509000</v>
      </c>
      <c r="AP113" s="1382">
        <v>2264000</v>
      </c>
      <c r="AQ113" s="1158" t="s">
        <v>920</v>
      </c>
      <c r="AR113" s="1383">
        <f>117.1+(56*1.5*0.785)</f>
        <v>183.04</v>
      </c>
      <c r="AS113" s="32">
        <f t="shared" si="34"/>
        <v>2264000</v>
      </c>
      <c r="AT113" s="754">
        <f t="shared" si="35"/>
        <v>38509000</v>
      </c>
      <c r="AX113"/>
      <c r="AY113"/>
      <c r="AZ113"/>
      <c r="BA113"/>
    </row>
    <row r="114" spans="1:53" ht="12.75" x14ac:dyDescent="0.2">
      <c r="A114" s="14"/>
      <c r="B114" s="14"/>
      <c r="C114" s="14"/>
      <c r="D114" s="14"/>
      <c r="E114" s="14"/>
      <c r="F114" s="14"/>
      <c r="G114" s="14"/>
      <c r="H114" s="14"/>
      <c r="I114" s="14"/>
      <c r="J114" s="14"/>
      <c r="K114" s="14"/>
      <c r="L114" s="14"/>
      <c r="M114" s="23"/>
      <c r="N114" s="23"/>
      <c r="O114" s="23"/>
      <c r="P114" s="23"/>
      <c r="Q114" s="23"/>
      <c r="R114" s="18"/>
      <c r="S114" s="189" t="s">
        <v>540</v>
      </c>
      <c r="T114" s="190" t="str">
        <f>IF(U113&gt;$AP$141,VLOOKUP(U113,$AP$141:$AQ$164,2,TRUE),$AQ$141)</f>
        <v>90x5 (W S355,S460)</v>
      </c>
      <c r="U114" s="190">
        <f>VLOOKUP(T114,$AO$141:$AP$164,2,0)</f>
        <v>1673</v>
      </c>
      <c r="V114" s="33" t="s">
        <v>128</v>
      </c>
      <c r="W114" s="190" t="str">
        <f>IF(X113&gt;$AP$141,VLOOKUP(X113,$AP$141:$AQ$164,2,TRUE),$AQ$141)</f>
        <v>100x6 (K S235)</v>
      </c>
      <c r="X114" s="190">
        <f>VLOOKUP(W114,$AO$141:$AP$164,2,0)</f>
        <v>2163</v>
      </c>
      <c r="Y114" s="33" t="s">
        <v>128</v>
      </c>
      <c r="Z114" s="190" t="str">
        <f>IF(AA113&gt;$AP$141,VLOOKUP(AA113,$AP$141:$AQ$164,2,TRUE),$AQ$141)</f>
        <v>90x5 (W S355,S460)</v>
      </c>
      <c r="AA114" s="190">
        <f>VLOOKUP(Z114,$AO$141:$AP$164,2,0)</f>
        <v>1673</v>
      </c>
      <c r="AB114" s="192" t="s">
        <v>128</v>
      </c>
      <c r="AC114" s="18"/>
      <c r="AO114" s="1395">
        <v>53201000</v>
      </c>
      <c r="AP114" s="1382">
        <v>2753000</v>
      </c>
      <c r="AQ114" s="1158" t="s">
        <v>921</v>
      </c>
      <c r="AR114" s="1383">
        <f>126.7+(56*2.5*0.785)</f>
        <v>236.60000000000002</v>
      </c>
      <c r="AS114" s="32">
        <f t="shared" si="34"/>
        <v>2753000</v>
      </c>
      <c r="AT114" s="754">
        <f t="shared" si="35"/>
        <v>53201000</v>
      </c>
      <c r="AX114"/>
      <c r="AY114"/>
      <c r="AZ114"/>
      <c r="BA114"/>
    </row>
    <row r="115" spans="1:53" ht="12.75" x14ac:dyDescent="0.2">
      <c r="A115" s="14"/>
      <c r="B115" s="14"/>
      <c r="C115" s="14"/>
      <c r="D115" s="14"/>
      <c r="E115" s="14"/>
      <c r="F115" s="14"/>
      <c r="G115" s="14"/>
      <c r="H115" s="14"/>
      <c r="I115" s="14"/>
      <c r="J115" s="14"/>
      <c r="K115" s="14"/>
      <c r="L115" s="14"/>
      <c r="M115" s="23"/>
      <c r="N115" s="23"/>
      <c r="O115" s="23"/>
      <c r="P115" s="23"/>
      <c r="Q115" s="23"/>
      <c r="R115" s="18"/>
      <c r="S115" s="34" t="s">
        <v>1054</v>
      </c>
      <c r="T115" s="195"/>
      <c r="U115" s="846">
        <f>VLOOKUP(T114,$AQ$141:$AR$164,2,0)</f>
        <v>13.5</v>
      </c>
      <c r="V115" s="35" t="s">
        <v>66</v>
      </c>
      <c r="W115" s="195"/>
      <c r="X115" s="846">
        <f>VLOOKUP(W114,$AQ$141:$AR$164,2,0)</f>
        <v>17.899999999999999</v>
      </c>
      <c r="Y115" s="35" t="s">
        <v>66</v>
      </c>
      <c r="Z115" s="195"/>
      <c r="AA115" s="846">
        <f>VLOOKUP(Z114,$AQ$141:$AR$164,2,0)</f>
        <v>13.5</v>
      </c>
      <c r="AB115" s="202" t="s">
        <v>66</v>
      </c>
      <c r="AC115" s="18"/>
      <c r="AO115" s="1395">
        <v>65777000</v>
      </c>
      <c r="AP115" s="1382">
        <v>3157000</v>
      </c>
      <c r="AQ115" s="1158" t="s">
        <v>922</v>
      </c>
      <c r="AR115" s="1383">
        <f>134.2+(56*3*0.785)</f>
        <v>266.08</v>
      </c>
      <c r="AS115" s="32">
        <f>AP115</f>
        <v>3157000</v>
      </c>
      <c r="AT115" s="754">
        <f>AO115</f>
        <v>65777000</v>
      </c>
      <c r="AX115"/>
      <c r="AY115"/>
      <c r="AZ115"/>
      <c r="BA115"/>
    </row>
    <row r="116" spans="1:53" ht="12.75" x14ac:dyDescent="0.2">
      <c r="A116" s="14"/>
      <c r="B116" s="14"/>
      <c r="C116" s="14"/>
      <c r="D116" s="14"/>
      <c r="E116" s="14"/>
      <c r="F116" s="14"/>
      <c r="G116" s="14"/>
      <c r="H116" s="14"/>
      <c r="I116" s="14"/>
      <c r="J116" s="14"/>
      <c r="K116" s="14"/>
      <c r="L116" s="14"/>
      <c r="M116" s="23"/>
      <c r="N116" s="23"/>
      <c r="O116" s="23"/>
      <c r="P116" s="23"/>
      <c r="Q116" s="23"/>
      <c r="R116" s="18"/>
      <c r="S116" s="1034" t="s">
        <v>1055</v>
      </c>
      <c r="T116" s="848"/>
      <c r="U116" s="848"/>
      <c r="V116" s="848"/>
      <c r="W116" s="848"/>
      <c r="X116" s="848"/>
      <c r="Y116" s="848"/>
      <c r="Z116" s="848"/>
      <c r="AA116" s="848"/>
      <c r="AB116" s="923"/>
      <c r="AC116" s="18"/>
      <c r="AO116" s="1377">
        <v>75000000</v>
      </c>
      <c r="AP116" s="999">
        <v>4000000</v>
      </c>
      <c r="AQ116" s="999" t="s">
        <v>924</v>
      </c>
      <c r="AR116" s="1383">
        <v>300</v>
      </c>
      <c r="AS116" s="32">
        <f>AP116</f>
        <v>4000000</v>
      </c>
      <c r="AT116" s="754">
        <f>AO116</f>
        <v>75000000</v>
      </c>
      <c r="AX116"/>
      <c r="AY116"/>
      <c r="AZ116"/>
      <c r="BA116"/>
    </row>
    <row r="117" spans="1:53" ht="12.75" x14ac:dyDescent="0.2">
      <c r="A117" s="14"/>
      <c r="B117" s="14"/>
      <c r="C117" s="14"/>
      <c r="D117" s="14"/>
      <c r="E117" s="14"/>
      <c r="F117" s="14"/>
      <c r="G117" s="14"/>
      <c r="H117" s="14"/>
      <c r="I117" s="14"/>
      <c r="J117" s="14"/>
      <c r="K117" s="14"/>
      <c r="L117" s="14"/>
      <c r="M117" s="23"/>
      <c r="N117" s="23"/>
      <c r="O117" s="23"/>
      <c r="P117" s="23"/>
      <c r="Q117" s="23"/>
      <c r="R117" s="18"/>
      <c r="S117" s="15" t="s">
        <v>1056</v>
      </c>
      <c r="T117" s="14"/>
      <c r="U117" s="1001">
        <f>0.5*U107*U108*SQRT(2)</f>
        <v>225.22323959722456</v>
      </c>
      <c r="V117" s="14" t="s">
        <v>82</v>
      </c>
      <c r="W117" s="14"/>
      <c r="X117" s="1001">
        <f>0.5*X107*X108*SQRT(2)</f>
        <v>244.84545277515122</v>
      </c>
      <c r="Y117" s="14" t="s">
        <v>82</v>
      </c>
      <c r="Z117" s="14"/>
      <c r="AA117" s="1001">
        <f>0.5*AA107*AA108*SQRT(2)</f>
        <v>223.53625252294094</v>
      </c>
      <c r="AB117" s="17" t="s">
        <v>82</v>
      </c>
      <c r="AC117" s="18"/>
      <c r="AO117" s="1395"/>
      <c r="AP117" s="1382"/>
      <c r="AQ117" s="1158"/>
      <c r="AR117" s="1383"/>
      <c r="AS117" s="32"/>
      <c r="AT117" s="754"/>
      <c r="AX117"/>
      <c r="AY117"/>
      <c r="AZ117"/>
      <c r="BA117"/>
    </row>
    <row r="118" spans="1:53" ht="12.75" x14ac:dyDescent="0.2">
      <c r="A118" s="14"/>
      <c r="B118" s="14"/>
      <c r="C118" s="14"/>
      <c r="D118" s="14"/>
      <c r="E118" s="14"/>
      <c r="F118" s="14"/>
      <c r="G118" s="14"/>
      <c r="H118" s="14"/>
      <c r="I118" s="14"/>
      <c r="J118" s="14"/>
      <c r="K118" s="14"/>
      <c r="L118" s="14"/>
      <c r="M118" s="23"/>
      <c r="N118" s="23"/>
      <c r="O118" s="23"/>
      <c r="P118" s="23"/>
      <c r="Q118" s="23"/>
      <c r="R118" s="18"/>
      <c r="S118" s="15" t="s">
        <v>1057</v>
      </c>
      <c r="T118" s="14"/>
      <c r="U118" s="1001">
        <f>U117*1000/U$105</f>
        <v>750.74413199074854</v>
      </c>
      <c r="V118" s="14" t="s">
        <v>128</v>
      </c>
      <c r="W118" s="14"/>
      <c r="X118" s="1001">
        <f>X117*1000/X$105</f>
        <v>816.15150925050398</v>
      </c>
      <c r="Y118" s="14" t="s">
        <v>128</v>
      </c>
      <c r="Z118" s="14"/>
      <c r="AA118" s="1001">
        <f>AA117*1000/AA$105</f>
        <v>745.12084174313645</v>
      </c>
      <c r="AB118" s="17" t="s">
        <v>128</v>
      </c>
      <c r="AC118" s="18"/>
      <c r="AO118" s="1034"/>
      <c r="AP118" s="848"/>
      <c r="AQ118" s="848"/>
      <c r="AR118" s="848"/>
      <c r="AS118" s="848"/>
      <c r="AT118" s="923"/>
      <c r="AX118"/>
      <c r="AY118"/>
      <c r="AZ118"/>
      <c r="BA118"/>
    </row>
    <row r="119" spans="1:53" ht="12.75" x14ac:dyDescent="0.2">
      <c r="A119" s="14"/>
      <c r="B119" s="14"/>
      <c r="C119" s="14"/>
      <c r="D119" s="14"/>
      <c r="E119" s="14"/>
      <c r="F119" s="14"/>
      <c r="G119" s="14"/>
      <c r="H119" s="14"/>
      <c r="I119" s="14"/>
      <c r="J119" s="14"/>
      <c r="K119" s="14"/>
      <c r="L119" s="14"/>
      <c r="M119" s="23"/>
      <c r="N119" s="23"/>
      <c r="O119" s="23"/>
      <c r="P119" s="23"/>
      <c r="Q119" s="23"/>
      <c r="R119" s="18"/>
      <c r="S119" s="189" t="s">
        <v>540</v>
      </c>
      <c r="T119" s="190" t="str">
        <f>IF(U118&gt;$AP$141,VLOOKUP(U118,$AP$141:$AQ$164,2,TRUE),$AQ$141)</f>
        <v>60x3 (K S235)</v>
      </c>
      <c r="U119" s="190">
        <f>VLOOKUP(T119,$AO$141:$AP$164,2,0)</f>
        <v>661</v>
      </c>
      <c r="V119" s="33" t="s">
        <v>128</v>
      </c>
      <c r="W119" s="190" t="str">
        <f>IF(X118&gt;$AP$141,VLOOKUP(X118,$AP$141:$AQ$164,2,TRUE),$AQ$141)</f>
        <v>60x3 (K S235)</v>
      </c>
      <c r="X119" s="190">
        <f>VLOOKUP(W119,$AO$141:$AP$164,2,0)</f>
        <v>661</v>
      </c>
      <c r="Y119" s="33" t="s">
        <v>128</v>
      </c>
      <c r="Z119" s="190" t="str">
        <f>IF(AA118&gt;$AP$141,VLOOKUP(AA118,$AP$141:$AQ$164,2,TRUE),$AQ$141)</f>
        <v>60x3 (K S235)</v>
      </c>
      <c r="AA119" s="190">
        <f>VLOOKUP(Z119,$AO$141:$AP$164,2,0)</f>
        <v>661</v>
      </c>
      <c r="AB119" s="192" t="s">
        <v>128</v>
      </c>
      <c r="AC119" s="18"/>
      <c r="AO119" s="15"/>
      <c r="AQ119" s="216" t="s">
        <v>334</v>
      </c>
      <c r="AR119" s="217">
        <v>8.6349999999999998</v>
      </c>
      <c r="AS119" s="216">
        <v>26500</v>
      </c>
      <c r="AT119" s="1157">
        <v>1060000</v>
      </c>
      <c r="AX119"/>
      <c r="AY119"/>
      <c r="AZ119"/>
      <c r="BA119"/>
    </row>
    <row r="120" spans="1:53" ht="12.75" x14ac:dyDescent="0.2">
      <c r="A120" s="14"/>
      <c r="B120" s="14"/>
      <c r="C120" s="14"/>
      <c r="D120" s="14"/>
      <c r="E120" s="14"/>
      <c r="F120" s="14"/>
      <c r="G120" s="14"/>
      <c r="H120" s="14"/>
      <c r="I120" s="14"/>
      <c r="J120" s="14"/>
      <c r="K120" s="14"/>
      <c r="L120" s="14"/>
      <c r="M120" s="18"/>
      <c r="N120" s="18"/>
      <c r="O120" s="18"/>
      <c r="P120" s="18"/>
      <c r="Q120" s="18"/>
      <c r="R120" s="18"/>
      <c r="S120" s="34" t="s">
        <v>1209</v>
      </c>
      <c r="T120" s="195"/>
      <c r="U120" s="846">
        <f>VLOOKUP(T119,$AQ$141:$AR$164,2,0)</f>
        <v>5.4</v>
      </c>
      <c r="V120" s="35" t="s">
        <v>66</v>
      </c>
      <c r="W120" s="195"/>
      <c r="X120" s="846">
        <f>VLOOKUP(W119,$AQ$141:$AR$164,2,0)</f>
        <v>5.4</v>
      </c>
      <c r="Y120" s="35" t="s">
        <v>66</v>
      </c>
      <c r="Z120" s="195"/>
      <c r="AA120" s="846">
        <f>VLOOKUP(Z119,$AQ$141:$AR$164,2,0)</f>
        <v>5.4</v>
      </c>
      <c r="AB120" s="202" t="s">
        <v>66</v>
      </c>
      <c r="AC120" s="18"/>
      <c r="AO120" s="15"/>
      <c r="AQ120" s="216" t="s">
        <v>335</v>
      </c>
      <c r="AR120" s="217">
        <v>10.5975</v>
      </c>
      <c r="AS120" s="216">
        <v>41200</v>
      </c>
      <c r="AT120" s="1157">
        <v>2060000</v>
      </c>
      <c r="AX120"/>
      <c r="AY120"/>
      <c r="AZ120"/>
      <c r="BA120"/>
    </row>
    <row r="121" spans="1:53" ht="24" x14ac:dyDescent="0.2">
      <c r="A121" s="14"/>
      <c r="B121" s="14"/>
      <c r="C121" s="14"/>
      <c r="D121" s="14"/>
      <c r="E121" s="14"/>
      <c r="F121" s="14"/>
      <c r="G121" s="14"/>
      <c r="H121" s="14"/>
      <c r="I121" s="14"/>
      <c r="J121" s="14"/>
      <c r="K121" s="14"/>
      <c r="L121" s="14"/>
      <c r="M121" s="18"/>
      <c r="N121" s="18"/>
      <c r="O121" s="18"/>
      <c r="P121" s="18"/>
      <c r="Q121" s="18"/>
      <c r="R121" s="18"/>
      <c r="S121" s="1728" t="s">
        <v>1210</v>
      </c>
      <c r="T121" s="14"/>
      <c r="U121" s="196">
        <f>(2*U115+U120*SQRT(2))*D21/D23</f>
        <v>10.531445240923393</v>
      </c>
      <c r="V121" s="33" t="s">
        <v>67</v>
      </c>
      <c r="W121" s="157"/>
      <c r="X121" s="196">
        <f>(2*X115+X120*SQRT(2))*G21/G23</f>
        <v>14.425490004846214</v>
      </c>
      <c r="Y121" s="33" t="s">
        <v>67</v>
      </c>
      <c r="Z121" s="157"/>
      <c r="AA121" s="196">
        <f>(2*AA115+AA120*SQRT(2))*J21/J23</f>
        <v>10.531445240923393</v>
      </c>
      <c r="AB121" s="192" t="s">
        <v>67</v>
      </c>
      <c r="AC121" s="18"/>
      <c r="AO121" s="15"/>
      <c r="AQ121" s="216" t="s">
        <v>336</v>
      </c>
      <c r="AR121" s="217">
        <v>13.345000000000001</v>
      </c>
      <c r="AS121" s="216">
        <v>60700</v>
      </c>
      <c r="AT121" s="1157">
        <v>3640000</v>
      </c>
      <c r="AX121"/>
      <c r="AY121"/>
      <c r="AZ121"/>
      <c r="BA121"/>
    </row>
    <row r="122" spans="1:53" ht="12.75" x14ac:dyDescent="0.2">
      <c r="A122" s="14"/>
      <c r="B122" s="14"/>
      <c r="C122" s="14"/>
      <c r="D122" s="14"/>
      <c r="E122" s="14"/>
      <c r="F122" s="14"/>
      <c r="G122" s="14"/>
      <c r="H122" s="14"/>
      <c r="I122" s="14"/>
      <c r="J122" s="14"/>
      <c r="K122" s="14"/>
      <c r="L122" s="14"/>
      <c r="M122" s="18"/>
      <c r="N122" s="18"/>
      <c r="O122" s="18"/>
      <c r="P122" s="18"/>
      <c r="Q122" s="18"/>
      <c r="R122" s="18"/>
      <c r="S122" s="19"/>
      <c r="T122" s="20"/>
      <c r="U122" s="20"/>
      <c r="V122" s="20"/>
      <c r="W122" s="20"/>
      <c r="X122" s="20"/>
      <c r="Y122" s="20"/>
      <c r="Z122" s="20"/>
      <c r="AA122" s="20"/>
      <c r="AB122" s="21"/>
      <c r="AC122" s="18"/>
      <c r="AO122" s="15"/>
      <c r="AQ122" s="216" t="s">
        <v>337</v>
      </c>
      <c r="AR122" s="217">
        <v>16.014000000000003</v>
      </c>
      <c r="AS122" s="216">
        <v>86400</v>
      </c>
      <c r="AT122" s="1157">
        <v>6050000</v>
      </c>
      <c r="AX122"/>
      <c r="AY122"/>
      <c r="AZ122"/>
      <c r="BA122"/>
    </row>
    <row r="123" spans="1:53" ht="12.75" x14ac:dyDescent="0.2">
      <c r="A123" s="14"/>
      <c r="B123" s="14"/>
      <c r="C123" s="14"/>
      <c r="D123" s="14"/>
      <c r="E123" s="14"/>
      <c r="F123" s="14"/>
      <c r="G123" s="14"/>
      <c r="H123" s="14"/>
      <c r="I123" s="14"/>
      <c r="J123" s="14"/>
      <c r="K123" s="14"/>
      <c r="L123" s="14"/>
      <c r="M123" s="18"/>
      <c r="N123" s="18"/>
      <c r="O123" s="18"/>
      <c r="P123" s="18"/>
      <c r="Q123" s="18"/>
      <c r="R123" s="18"/>
      <c r="AC123" s="18"/>
      <c r="AO123" s="15"/>
      <c r="AQ123" s="216" t="s">
        <v>338</v>
      </c>
      <c r="AR123" s="217">
        <v>18.84</v>
      </c>
      <c r="AS123" s="216">
        <v>116000</v>
      </c>
      <c r="AT123" s="1157">
        <v>9250000</v>
      </c>
      <c r="AX123"/>
      <c r="AY123"/>
      <c r="AZ123"/>
      <c r="BA123"/>
    </row>
    <row r="124" spans="1:53" ht="12.75" x14ac:dyDescent="0.2">
      <c r="A124" s="14"/>
      <c r="B124" s="14"/>
      <c r="C124" s="14"/>
      <c r="D124" s="14"/>
      <c r="E124" s="14"/>
      <c r="F124" s="14"/>
      <c r="G124" s="14"/>
      <c r="H124" s="14"/>
      <c r="I124" s="14"/>
      <c r="J124" s="14"/>
      <c r="K124" s="14"/>
      <c r="L124" s="14"/>
      <c r="M124" s="18"/>
      <c r="N124" s="18"/>
      <c r="O124" s="18"/>
      <c r="P124" s="18"/>
      <c r="Q124" s="18"/>
      <c r="R124" s="18"/>
      <c r="AC124" s="18"/>
      <c r="AO124" s="15"/>
      <c r="AQ124" s="216" t="s">
        <v>339</v>
      </c>
      <c r="AR124" s="217">
        <v>21.98</v>
      </c>
      <c r="AS124" s="216">
        <v>150000</v>
      </c>
      <c r="AT124" s="1157">
        <v>13500000</v>
      </c>
      <c r="AX124"/>
      <c r="AY124"/>
      <c r="AZ124"/>
      <c r="BA124"/>
    </row>
    <row r="125" spans="1:53" ht="12.75" x14ac:dyDescent="0.2">
      <c r="A125" s="14"/>
      <c r="B125" s="14"/>
      <c r="C125" s="14"/>
      <c r="D125" s="14"/>
      <c r="E125" s="14"/>
      <c r="F125" s="14"/>
      <c r="G125" s="14"/>
      <c r="H125" s="14"/>
      <c r="I125" s="14"/>
      <c r="J125" s="14"/>
      <c r="K125" s="14"/>
      <c r="L125" s="14"/>
      <c r="M125" s="18"/>
      <c r="N125" s="18"/>
      <c r="O125" s="18"/>
      <c r="P125" s="18"/>
      <c r="Q125" s="18"/>
      <c r="R125" s="18"/>
      <c r="AC125" s="18"/>
      <c r="AO125" s="15"/>
      <c r="AQ125" s="216" t="s">
        <v>340</v>
      </c>
      <c r="AR125" s="217">
        <v>25.277000000000005</v>
      </c>
      <c r="AS125" s="216">
        <v>191000</v>
      </c>
      <c r="AT125" s="1157">
        <v>19100000</v>
      </c>
      <c r="AX125"/>
      <c r="AY125"/>
      <c r="AZ125"/>
      <c r="BA125"/>
    </row>
    <row r="126" spans="1:53" ht="12.75" x14ac:dyDescent="0.2">
      <c r="A126" s="14"/>
      <c r="B126" s="14"/>
      <c r="C126" s="14"/>
      <c r="D126" s="14"/>
      <c r="E126" s="14"/>
      <c r="F126" s="14"/>
      <c r="G126" s="14"/>
      <c r="H126" s="14"/>
      <c r="I126" s="14"/>
      <c r="J126" s="14"/>
      <c r="K126" s="14"/>
      <c r="L126" s="14"/>
      <c r="M126" s="18"/>
      <c r="N126" s="18"/>
      <c r="O126" s="18"/>
      <c r="P126" s="18"/>
      <c r="Q126" s="18"/>
      <c r="R126" s="18"/>
      <c r="AC126" s="18"/>
      <c r="AO126" s="15"/>
      <c r="AQ126" s="216" t="s">
        <v>341</v>
      </c>
      <c r="AR126" s="217">
        <v>29.359000000000005</v>
      </c>
      <c r="AS126" s="216">
        <v>245000</v>
      </c>
      <c r="AT126" s="1157">
        <v>26900000</v>
      </c>
      <c r="AX126"/>
      <c r="AY126"/>
      <c r="AZ126"/>
      <c r="BA126"/>
    </row>
    <row r="127" spans="1:53" ht="12.75" x14ac:dyDescent="0.2">
      <c r="A127" s="14"/>
      <c r="B127" s="14"/>
      <c r="C127" s="14"/>
      <c r="D127" s="14"/>
      <c r="E127" s="14"/>
      <c r="F127" s="14"/>
      <c r="G127" s="14"/>
      <c r="H127" s="14"/>
      <c r="I127" s="14"/>
      <c r="J127" s="14"/>
      <c r="K127" s="14"/>
      <c r="L127" s="14"/>
      <c r="M127" s="18"/>
      <c r="N127" s="18"/>
      <c r="O127" s="18"/>
      <c r="P127" s="18"/>
      <c r="Q127" s="18"/>
      <c r="R127" s="18"/>
      <c r="AC127" s="18"/>
      <c r="AO127" s="15"/>
      <c r="AQ127" s="216" t="s">
        <v>342</v>
      </c>
      <c r="AR127" s="217">
        <v>33.205500000000008</v>
      </c>
      <c r="AS127" s="216">
        <v>300000</v>
      </c>
      <c r="AT127" s="1157">
        <v>36000000</v>
      </c>
      <c r="AX127"/>
      <c r="AY127"/>
      <c r="AZ127"/>
      <c r="BA127"/>
    </row>
    <row r="128" spans="1:53" ht="12.75" x14ac:dyDescent="0.2">
      <c r="A128" s="14"/>
      <c r="B128" s="14"/>
      <c r="C128" s="14"/>
      <c r="D128" s="14"/>
      <c r="E128" s="14"/>
      <c r="F128" s="14"/>
      <c r="G128" s="14"/>
      <c r="H128" s="14"/>
      <c r="I128" s="14"/>
      <c r="J128" s="14"/>
      <c r="K128" s="14"/>
      <c r="L128" s="14"/>
      <c r="M128" s="18"/>
      <c r="N128" s="18"/>
      <c r="O128" s="18"/>
      <c r="P128" s="18"/>
      <c r="Q128" s="18"/>
      <c r="R128" s="18"/>
      <c r="AC128" s="18"/>
      <c r="AO128" s="15"/>
      <c r="AQ128" s="216" t="s">
        <v>343</v>
      </c>
      <c r="AR128" s="217">
        <v>37.915500000000009</v>
      </c>
      <c r="AS128" s="216">
        <v>371000</v>
      </c>
      <c r="AT128" s="1157">
        <v>48200000</v>
      </c>
      <c r="AX128"/>
      <c r="AY128"/>
      <c r="AZ128"/>
      <c r="BA128"/>
    </row>
    <row r="129" spans="1:46" x14ac:dyDescent="0.2">
      <c r="A129" s="14"/>
      <c r="B129" s="14"/>
      <c r="C129" s="14"/>
      <c r="D129" s="14"/>
      <c r="E129" s="14"/>
      <c r="F129" s="14"/>
      <c r="G129" s="14"/>
      <c r="H129" s="14"/>
      <c r="I129" s="14"/>
      <c r="J129" s="14"/>
      <c r="K129" s="14"/>
      <c r="L129" s="14"/>
      <c r="M129" s="18"/>
      <c r="N129" s="18"/>
      <c r="O129" s="18"/>
      <c r="P129" s="18"/>
      <c r="Q129" s="18"/>
      <c r="R129" s="18"/>
      <c r="AC129" s="18"/>
      <c r="AO129" s="15"/>
      <c r="AQ129" s="216" t="s">
        <v>344</v>
      </c>
      <c r="AR129" s="217">
        <v>41.840500000000006</v>
      </c>
      <c r="AS129" s="216">
        <v>448000</v>
      </c>
      <c r="AT129" s="1157">
        <v>62800000</v>
      </c>
    </row>
    <row r="130" spans="1:46" x14ac:dyDescent="0.2">
      <c r="A130" s="14"/>
      <c r="B130" s="14"/>
      <c r="C130" s="14"/>
      <c r="D130" s="14"/>
      <c r="E130" s="14"/>
      <c r="F130" s="14"/>
      <c r="G130" s="14"/>
      <c r="H130" s="14"/>
      <c r="I130" s="14"/>
      <c r="J130" s="14"/>
      <c r="K130" s="14"/>
      <c r="L130" s="14"/>
      <c r="M130" s="18"/>
      <c r="N130" s="18"/>
      <c r="O130" s="18"/>
      <c r="P130" s="18"/>
      <c r="Q130" s="18"/>
      <c r="R130" s="18"/>
      <c r="AC130" s="18"/>
      <c r="AO130" s="15"/>
      <c r="AQ130" s="216" t="s">
        <v>345</v>
      </c>
      <c r="AR130" s="217">
        <v>46.158000000000008</v>
      </c>
      <c r="AS130" s="216">
        <v>535000</v>
      </c>
      <c r="AT130" s="1157">
        <v>80300000</v>
      </c>
    </row>
    <row r="131" spans="1:46" x14ac:dyDescent="0.2">
      <c r="A131" s="14"/>
      <c r="B131" s="14"/>
      <c r="C131" s="14"/>
      <c r="D131" s="14"/>
      <c r="E131" s="14"/>
      <c r="F131" s="14"/>
      <c r="G131" s="14"/>
      <c r="H131" s="14"/>
      <c r="I131" s="14"/>
      <c r="J131" s="14"/>
      <c r="K131" s="14"/>
      <c r="L131" s="14"/>
      <c r="M131" s="18"/>
      <c r="N131" s="18"/>
      <c r="O131" s="18"/>
      <c r="P131" s="18"/>
      <c r="Q131" s="18"/>
      <c r="R131" s="18"/>
      <c r="AC131" s="18"/>
      <c r="AO131" s="15"/>
      <c r="AQ131" s="216" t="s">
        <v>346</v>
      </c>
      <c r="AR131" s="217">
        <v>59.503000000000007</v>
      </c>
      <c r="AS131" s="216">
        <v>679000</v>
      </c>
      <c r="AT131" s="1157">
        <v>108700000</v>
      </c>
    </row>
    <row r="132" spans="1:46" x14ac:dyDescent="0.2">
      <c r="A132" s="14"/>
      <c r="B132" s="14"/>
      <c r="C132" s="14"/>
      <c r="D132" s="14"/>
      <c r="E132" s="14"/>
      <c r="F132" s="14"/>
      <c r="G132" s="14"/>
      <c r="H132" s="14"/>
      <c r="I132" s="14"/>
      <c r="J132" s="14"/>
      <c r="K132" s="14"/>
      <c r="L132" s="14"/>
      <c r="M132" s="18"/>
      <c r="N132" s="18"/>
      <c r="O132" s="18"/>
      <c r="P132" s="18"/>
      <c r="Q132" s="18"/>
      <c r="R132" s="18"/>
      <c r="AC132" s="18"/>
      <c r="AO132" s="15"/>
      <c r="AQ132" s="216" t="s">
        <v>347</v>
      </c>
      <c r="AR132" s="217">
        <v>60.680500000000009</v>
      </c>
      <c r="AS132" s="216">
        <v>734000</v>
      </c>
      <c r="AT132" s="1157">
        <v>128400000</v>
      </c>
    </row>
    <row r="133" spans="1:46" x14ac:dyDescent="0.2">
      <c r="A133" s="14"/>
      <c r="B133" s="14"/>
      <c r="C133" s="14"/>
      <c r="D133" s="14"/>
      <c r="E133" s="14"/>
      <c r="F133" s="14"/>
      <c r="G133" s="14"/>
      <c r="H133" s="14"/>
      <c r="I133" s="14"/>
      <c r="J133" s="14"/>
      <c r="K133" s="14"/>
      <c r="L133" s="14"/>
      <c r="M133" s="18"/>
      <c r="N133" s="18"/>
      <c r="O133" s="18"/>
      <c r="P133" s="18"/>
      <c r="Q133" s="18"/>
      <c r="R133" s="18"/>
      <c r="S133" s="18"/>
      <c r="T133" s="18"/>
      <c r="U133" s="18"/>
      <c r="V133" s="18"/>
      <c r="W133" s="18"/>
      <c r="X133" s="18"/>
      <c r="Y133" s="18"/>
      <c r="Z133" s="18"/>
      <c r="AA133" s="18"/>
      <c r="AB133" s="18"/>
      <c r="AC133" s="18"/>
      <c r="AO133" s="15"/>
      <c r="AQ133" s="216" t="s">
        <v>348</v>
      </c>
      <c r="AR133" s="217">
        <v>63.114000000000011</v>
      </c>
      <c r="AS133" s="216">
        <v>829000</v>
      </c>
      <c r="AT133" s="1157">
        <v>157300000</v>
      </c>
    </row>
    <row r="134" spans="1:46" x14ac:dyDescent="0.2">
      <c r="A134" s="14"/>
      <c r="B134" s="14"/>
      <c r="C134" s="14"/>
      <c r="D134" s="14"/>
      <c r="E134" s="14"/>
      <c r="F134" s="14"/>
      <c r="G134" s="14"/>
      <c r="H134" s="14"/>
      <c r="I134" s="14"/>
      <c r="J134" s="14"/>
      <c r="K134" s="14"/>
      <c r="L134" s="14"/>
      <c r="M134" s="18"/>
      <c r="N134" s="18"/>
      <c r="O134" s="18"/>
      <c r="P134" s="18"/>
      <c r="Q134" s="18"/>
      <c r="R134" s="18"/>
      <c r="S134" s="18"/>
      <c r="T134" s="18"/>
      <c r="U134" s="18"/>
      <c r="V134" s="18"/>
      <c r="W134" s="18"/>
      <c r="X134" s="18"/>
      <c r="Y134" s="18"/>
      <c r="Z134" s="18"/>
      <c r="AA134" s="18"/>
      <c r="AB134" s="18"/>
      <c r="AC134" s="18"/>
      <c r="AO134" s="15"/>
      <c r="AQ134" s="216" t="s">
        <v>349</v>
      </c>
      <c r="AR134" s="217">
        <v>71.827500000000001</v>
      </c>
      <c r="AS134" s="216">
        <v>1020000</v>
      </c>
      <c r="AT134" s="1157">
        <v>203500000</v>
      </c>
    </row>
    <row r="135" spans="1:46" x14ac:dyDescent="0.2">
      <c r="A135" s="14"/>
      <c r="B135" s="14"/>
      <c r="C135" s="14"/>
      <c r="D135" s="14"/>
      <c r="E135" s="14"/>
      <c r="F135" s="14"/>
      <c r="G135" s="14"/>
      <c r="H135" s="14"/>
      <c r="I135" s="14"/>
      <c r="J135" s="14"/>
      <c r="K135" s="14"/>
      <c r="L135" s="14"/>
      <c r="M135" s="18"/>
      <c r="N135" s="18"/>
      <c r="O135" s="18"/>
      <c r="P135" s="18"/>
      <c r="Q135" s="18"/>
      <c r="R135" s="18"/>
      <c r="S135" s="18"/>
      <c r="T135" s="18"/>
      <c r="U135" s="18"/>
      <c r="V135" s="18"/>
      <c r="W135" s="18"/>
      <c r="X135" s="18"/>
      <c r="Y135" s="18"/>
      <c r="Z135" s="18"/>
      <c r="AA135" s="18"/>
      <c r="AB135" s="18"/>
      <c r="AC135" s="18"/>
      <c r="AO135" s="15"/>
      <c r="AT135" s="17"/>
    </row>
    <row r="136" spans="1:46" x14ac:dyDescent="0.2">
      <c r="A136" s="14"/>
      <c r="B136" s="14"/>
      <c r="C136" s="14"/>
      <c r="D136" s="14"/>
      <c r="E136" s="14"/>
      <c r="F136" s="14"/>
      <c r="G136" s="14"/>
      <c r="H136" s="14"/>
      <c r="I136" s="14"/>
      <c r="J136" s="14"/>
      <c r="K136" s="14"/>
      <c r="L136" s="14"/>
      <c r="M136" s="18"/>
      <c r="N136" s="18"/>
      <c r="O136" s="18"/>
      <c r="P136" s="18"/>
      <c r="Q136" s="18"/>
      <c r="R136" s="18"/>
      <c r="S136" s="18"/>
      <c r="T136" s="18"/>
      <c r="U136" s="18"/>
      <c r="V136" s="18"/>
      <c r="W136" s="18"/>
      <c r="X136" s="18"/>
      <c r="Y136" s="18"/>
      <c r="Z136" s="18"/>
      <c r="AA136" s="18"/>
      <c r="AB136" s="18"/>
      <c r="AC136" s="18"/>
      <c r="AO136" s="19"/>
      <c r="AP136" s="20"/>
      <c r="AQ136" s="20"/>
      <c r="AR136" s="20"/>
      <c r="AS136" s="20"/>
      <c r="AT136" s="21"/>
    </row>
    <row r="137" spans="1:46" x14ac:dyDescent="0.2">
      <c r="A137" s="14"/>
      <c r="B137" s="14"/>
      <c r="C137" s="14"/>
      <c r="D137" s="14"/>
      <c r="E137" s="14"/>
      <c r="F137" s="14"/>
      <c r="G137" s="14"/>
      <c r="H137" s="14"/>
      <c r="I137" s="14"/>
      <c r="J137" s="14"/>
      <c r="K137" s="14"/>
      <c r="L137" s="14"/>
      <c r="M137" s="18"/>
      <c r="N137" s="18"/>
      <c r="O137" s="18"/>
      <c r="P137" s="18"/>
      <c r="Q137" s="18"/>
      <c r="R137" s="18"/>
      <c r="S137" s="18"/>
      <c r="T137" s="18"/>
      <c r="U137" s="18"/>
      <c r="V137" s="18"/>
      <c r="W137" s="18"/>
      <c r="X137" s="18"/>
      <c r="Y137" s="18"/>
      <c r="Z137" s="18"/>
      <c r="AA137" s="18"/>
      <c r="AB137" s="18"/>
      <c r="AC137" s="18"/>
      <c r="AO137" s="9"/>
      <c r="AP137" s="9"/>
      <c r="AQ137" s="9"/>
      <c r="AR137" s="9"/>
      <c r="AS137" s="9"/>
      <c r="AT137" s="9"/>
    </row>
    <row r="138" spans="1:46" ht="12.75" x14ac:dyDescent="0.2">
      <c r="A138" s="14"/>
      <c r="B138" s="14"/>
      <c r="C138" s="14"/>
      <c r="D138" s="14"/>
      <c r="E138" s="14"/>
      <c r="F138" s="14"/>
      <c r="G138" s="14"/>
      <c r="H138" s="14"/>
      <c r="I138" s="14"/>
      <c r="J138" s="14"/>
      <c r="K138" s="14"/>
      <c r="L138" s="14"/>
      <c r="M138" s="18"/>
      <c r="N138" s="18"/>
      <c r="O138" s="18"/>
      <c r="P138" s="18"/>
      <c r="Q138" s="18"/>
      <c r="R138" s="18"/>
      <c r="S138" s="18"/>
      <c r="T138" s="18"/>
      <c r="U138" s="18"/>
      <c r="V138" s="18"/>
      <c r="W138" s="18"/>
      <c r="X138" s="18"/>
      <c r="Y138" s="18"/>
      <c r="Z138" s="18"/>
      <c r="AA138" s="18"/>
      <c r="AB138" s="18"/>
      <c r="AC138" s="18"/>
      <c r="AO138" s="1550" t="s">
        <v>1053</v>
      </c>
      <c r="AP138" s="1551"/>
      <c r="AQ138" s="1552"/>
      <c r="AR138" s="1724"/>
      <c r="AS138" s="9"/>
      <c r="AT138" s="9"/>
    </row>
    <row r="139" spans="1:46" ht="12.75" x14ac:dyDescent="0.2">
      <c r="A139" s="14"/>
      <c r="B139" s="14"/>
      <c r="C139" s="14"/>
      <c r="D139" s="14"/>
      <c r="E139" s="14"/>
      <c r="F139" s="14"/>
      <c r="G139" s="14"/>
      <c r="H139" s="14"/>
      <c r="I139" s="14"/>
      <c r="J139" s="14"/>
      <c r="K139" s="14"/>
      <c r="L139" s="14"/>
      <c r="M139" s="18"/>
      <c r="N139" s="18"/>
      <c r="O139" s="18"/>
      <c r="P139" s="18"/>
      <c r="Q139" s="18"/>
      <c r="R139" s="18"/>
      <c r="S139" s="18"/>
      <c r="T139" s="18"/>
      <c r="U139" s="18"/>
      <c r="V139" s="18"/>
      <c r="W139" s="18"/>
      <c r="X139" s="18"/>
      <c r="Y139" s="18"/>
      <c r="Z139" s="18"/>
      <c r="AA139" s="18"/>
      <c r="AB139" s="18"/>
      <c r="AC139" s="18"/>
      <c r="AO139" s="1509"/>
      <c r="AP139" s="1510" t="s">
        <v>234</v>
      </c>
      <c r="AQ139" s="1510"/>
      <c r="AR139" s="1725" t="s">
        <v>309</v>
      </c>
      <c r="AS139" s="9"/>
      <c r="AT139" s="9"/>
    </row>
    <row r="140" spans="1:46" ht="12.75" x14ac:dyDescent="0.2">
      <c r="A140" s="14"/>
      <c r="B140" s="14"/>
      <c r="C140" s="14"/>
      <c r="D140" s="14"/>
      <c r="E140" s="14"/>
      <c r="F140" s="14"/>
      <c r="G140" s="14"/>
      <c r="H140" s="14"/>
      <c r="I140" s="14"/>
      <c r="J140" s="14"/>
      <c r="K140" s="14"/>
      <c r="L140" s="14"/>
      <c r="M140" s="18"/>
      <c r="N140" s="18"/>
      <c r="O140" s="18"/>
      <c r="P140" s="18"/>
      <c r="Q140" s="18"/>
      <c r="R140" s="18"/>
      <c r="S140" s="18"/>
      <c r="T140" s="18"/>
      <c r="U140" s="18"/>
      <c r="V140" s="18"/>
      <c r="W140" s="18"/>
      <c r="X140" s="18"/>
      <c r="Y140" s="18"/>
      <c r="Z140" s="18"/>
      <c r="AA140" s="18"/>
      <c r="AB140" s="18"/>
      <c r="AC140" s="18"/>
      <c r="AO140" s="1512"/>
      <c r="AP140" s="1513" t="s">
        <v>662</v>
      </c>
      <c r="AQ140" s="1513"/>
      <c r="AR140" s="1726" t="s">
        <v>313</v>
      </c>
      <c r="AS140" s="9"/>
      <c r="AT140" s="9"/>
    </row>
    <row r="141" spans="1:46" ht="12.75" x14ac:dyDescent="0.2">
      <c r="A141" s="14"/>
      <c r="B141" s="14"/>
      <c r="C141" s="14"/>
      <c r="D141" s="14"/>
      <c r="E141" s="14"/>
      <c r="F141" s="14"/>
      <c r="G141" s="14"/>
      <c r="H141" s="14"/>
      <c r="I141" s="14"/>
      <c r="J141" s="14"/>
      <c r="K141" s="14"/>
      <c r="L141" s="14"/>
      <c r="M141" s="18"/>
      <c r="N141" s="18"/>
      <c r="O141" s="18"/>
      <c r="P141" s="18"/>
      <c r="Q141" s="18"/>
      <c r="R141" s="18"/>
      <c r="S141" s="18"/>
      <c r="T141" s="18"/>
      <c r="U141" s="18"/>
      <c r="V141" s="18"/>
      <c r="W141" s="18"/>
      <c r="X141" s="18"/>
      <c r="Y141" s="18"/>
      <c r="Z141" s="18"/>
      <c r="AA141" s="18"/>
      <c r="AB141" s="18"/>
      <c r="AC141" s="18"/>
      <c r="AO141" s="1515" t="s">
        <v>937</v>
      </c>
      <c r="AP141" s="1579">
        <v>537</v>
      </c>
      <c r="AQ141" s="1579" t="s">
        <v>937</v>
      </c>
      <c r="AR141" s="17">
        <v>4.5</v>
      </c>
      <c r="AS141" s="9"/>
      <c r="AT141" s="9"/>
    </row>
    <row r="142" spans="1:46" ht="12.75" x14ac:dyDescent="0.2">
      <c r="A142" s="14"/>
      <c r="B142" s="14"/>
      <c r="C142" s="14"/>
      <c r="D142" s="14"/>
      <c r="E142" s="14"/>
      <c r="F142" s="14"/>
      <c r="G142" s="14"/>
      <c r="H142" s="14"/>
      <c r="I142" s="14"/>
      <c r="J142" s="14"/>
      <c r="K142" s="14"/>
      <c r="L142" s="14"/>
      <c r="M142" s="18"/>
      <c r="N142" s="18"/>
      <c r="O142" s="18"/>
      <c r="P142" s="18"/>
      <c r="Q142" s="18"/>
      <c r="R142" s="18"/>
      <c r="S142" s="18"/>
      <c r="T142" s="18"/>
      <c r="U142" s="18"/>
      <c r="V142" s="18"/>
      <c r="W142" s="18"/>
      <c r="X142" s="18"/>
      <c r="Y142" s="18"/>
      <c r="Z142" s="18"/>
      <c r="AA142" s="18"/>
      <c r="AB142" s="18"/>
      <c r="AC142" s="18"/>
      <c r="AO142" s="1515" t="s">
        <v>931</v>
      </c>
      <c r="AP142" s="1579">
        <v>541</v>
      </c>
      <c r="AQ142" s="1579" t="s">
        <v>931</v>
      </c>
      <c r="AR142" s="17">
        <v>4.5</v>
      </c>
      <c r="AS142" s="9"/>
      <c r="AT142" s="9"/>
    </row>
    <row r="143" spans="1:46" ht="12.75" x14ac:dyDescent="0.2">
      <c r="A143" s="14"/>
      <c r="B143" s="14"/>
      <c r="C143" s="14"/>
      <c r="D143" s="14"/>
      <c r="E143" s="14"/>
      <c r="F143" s="14"/>
      <c r="G143" s="14"/>
      <c r="H143" s="14"/>
      <c r="I143" s="14"/>
      <c r="J143" s="14"/>
      <c r="K143" s="14"/>
      <c r="L143" s="14"/>
      <c r="M143" s="18"/>
      <c r="N143" s="18"/>
      <c r="O143" s="18"/>
      <c r="P143" s="18"/>
      <c r="Q143" s="18"/>
      <c r="R143" s="18"/>
      <c r="S143" s="18"/>
      <c r="T143" s="18"/>
      <c r="U143" s="18"/>
      <c r="V143" s="18"/>
      <c r="W143" s="18"/>
      <c r="X143" s="18"/>
      <c r="Y143" s="18"/>
      <c r="Z143" s="18"/>
      <c r="AA143" s="18"/>
      <c r="AB143" s="18"/>
      <c r="AC143" s="18"/>
      <c r="AO143" s="1515" t="s">
        <v>932</v>
      </c>
      <c r="AP143" s="1579">
        <v>661</v>
      </c>
      <c r="AQ143" s="1579" t="s">
        <v>932</v>
      </c>
      <c r="AR143" s="17">
        <v>5.4</v>
      </c>
      <c r="AS143" s="9"/>
      <c r="AT143" s="9"/>
    </row>
    <row r="144" spans="1:46" ht="12.75" x14ac:dyDescent="0.2">
      <c r="A144" s="14"/>
      <c r="B144" s="14"/>
      <c r="C144" s="14"/>
      <c r="D144" s="14"/>
      <c r="E144" s="14"/>
      <c r="F144" s="14"/>
      <c r="G144" s="14"/>
      <c r="H144" s="14"/>
      <c r="I144" s="14"/>
      <c r="J144" s="14"/>
      <c r="K144" s="14"/>
      <c r="L144" s="14"/>
      <c r="M144" s="18"/>
      <c r="N144" s="18"/>
      <c r="O144" s="18"/>
      <c r="P144" s="18"/>
      <c r="Q144" s="18"/>
      <c r="R144" s="18"/>
      <c r="S144" s="18"/>
      <c r="T144" s="18"/>
      <c r="U144" s="18"/>
      <c r="V144" s="18"/>
      <c r="W144" s="18"/>
      <c r="X144" s="18"/>
      <c r="Y144" s="18"/>
      <c r="Z144" s="18"/>
      <c r="AA144" s="18"/>
      <c r="AB144" s="18"/>
      <c r="AC144" s="18"/>
      <c r="AO144" s="1515" t="s">
        <v>938</v>
      </c>
      <c r="AP144" s="1579">
        <v>879</v>
      </c>
      <c r="AQ144" s="1579" t="s">
        <v>938</v>
      </c>
      <c r="AR144" s="17">
        <v>7.1</v>
      </c>
      <c r="AS144" s="9"/>
      <c r="AT144" s="9"/>
    </row>
    <row r="145" spans="1:44" ht="12.75" x14ac:dyDescent="0.2">
      <c r="A145" s="14"/>
      <c r="B145" s="14"/>
      <c r="C145" s="14"/>
      <c r="D145" s="14"/>
      <c r="E145" s="14"/>
      <c r="F145" s="14"/>
      <c r="G145" s="14"/>
      <c r="H145" s="14"/>
      <c r="I145" s="14"/>
      <c r="J145" s="14"/>
      <c r="K145" s="14"/>
      <c r="L145" s="14"/>
      <c r="M145" s="18"/>
      <c r="N145" s="18"/>
      <c r="O145" s="18"/>
      <c r="P145" s="18"/>
      <c r="Q145" s="18"/>
      <c r="R145" s="18"/>
      <c r="S145" s="18"/>
      <c r="T145" s="18"/>
      <c r="U145" s="18"/>
      <c r="V145" s="18"/>
      <c r="W145" s="18"/>
      <c r="X145" s="18"/>
      <c r="Y145" s="18"/>
      <c r="Z145" s="18"/>
      <c r="AA145" s="18"/>
      <c r="AB145" s="18"/>
      <c r="AC145" s="18"/>
      <c r="AO145" s="1515" t="s">
        <v>933</v>
      </c>
      <c r="AP145" s="1579">
        <v>1015</v>
      </c>
      <c r="AQ145" s="1579" t="s">
        <v>933</v>
      </c>
      <c r="AR145" s="17">
        <v>8.4</v>
      </c>
    </row>
    <row r="146" spans="1:44" ht="12.75" x14ac:dyDescent="0.2">
      <c r="A146" s="14"/>
      <c r="B146" s="14"/>
      <c r="C146" s="14"/>
      <c r="D146" s="14"/>
      <c r="E146" s="14"/>
      <c r="F146" s="14"/>
      <c r="G146" s="14"/>
      <c r="H146" s="14"/>
      <c r="I146" s="14"/>
      <c r="J146" s="14"/>
      <c r="K146" s="14"/>
      <c r="L146" s="14"/>
      <c r="M146" s="18"/>
      <c r="N146" s="18"/>
      <c r="O146" s="18"/>
      <c r="P146" s="18"/>
      <c r="Q146" s="18"/>
      <c r="R146" s="18"/>
      <c r="S146" s="18"/>
      <c r="T146" s="18"/>
      <c r="U146" s="18"/>
      <c r="V146" s="18"/>
      <c r="W146" s="18"/>
      <c r="X146" s="18"/>
      <c r="Y146" s="18"/>
      <c r="Z146" s="18"/>
      <c r="AA146" s="18"/>
      <c r="AB146" s="18"/>
      <c r="AC146" s="18"/>
      <c r="AO146" s="1515" t="s">
        <v>939</v>
      </c>
      <c r="AP146" s="1579">
        <v>1039</v>
      </c>
      <c r="AQ146" s="1579" t="s">
        <v>939</v>
      </c>
      <c r="AR146" s="17">
        <v>8.4</v>
      </c>
    </row>
    <row r="147" spans="1:44" ht="12.75" x14ac:dyDescent="0.2">
      <c r="A147" s="14"/>
      <c r="B147" s="14"/>
      <c r="C147" s="14"/>
      <c r="D147" s="14"/>
      <c r="E147" s="14"/>
      <c r="F147" s="14"/>
      <c r="G147" s="14"/>
      <c r="H147" s="14"/>
      <c r="I147" s="14"/>
      <c r="J147" s="14"/>
      <c r="K147" s="14"/>
      <c r="L147" s="14"/>
      <c r="M147" s="18"/>
      <c r="N147" s="18"/>
      <c r="O147" s="18"/>
      <c r="P147" s="18"/>
      <c r="Q147" s="18"/>
      <c r="R147" s="18"/>
      <c r="S147" s="18"/>
      <c r="T147" s="18"/>
      <c r="U147" s="18"/>
      <c r="V147" s="18"/>
      <c r="W147" s="18"/>
      <c r="X147" s="18"/>
      <c r="Y147" s="18"/>
      <c r="Z147" s="18"/>
      <c r="AA147" s="18"/>
      <c r="AB147" s="18"/>
      <c r="AC147" s="18"/>
      <c r="AO147" s="1515" t="s">
        <v>934</v>
      </c>
      <c r="AP147" s="1579">
        <v>1175</v>
      </c>
      <c r="AQ147" s="1579" t="s">
        <v>934</v>
      </c>
      <c r="AR147" s="17">
        <v>9.6</v>
      </c>
    </row>
    <row r="148" spans="1:44" ht="12.75" x14ac:dyDescent="0.2">
      <c r="A148" s="14"/>
      <c r="B148" s="14"/>
      <c r="C148" s="14"/>
      <c r="D148" s="14"/>
      <c r="E148" s="14"/>
      <c r="F148" s="14"/>
      <c r="G148" s="14"/>
      <c r="H148" s="14"/>
      <c r="I148" s="14"/>
      <c r="J148" s="14"/>
      <c r="K148" s="14"/>
      <c r="L148" s="14"/>
      <c r="M148" s="18"/>
      <c r="N148" s="18"/>
      <c r="O148" s="18"/>
      <c r="P148" s="18"/>
      <c r="Q148" s="18"/>
      <c r="R148" s="18"/>
      <c r="S148" s="18"/>
      <c r="T148" s="18"/>
      <c r="U148" s="18"/>
      <c r="V148" s="18"/>
      <c r="W148" s="18"/>
      <c r="X148" s="18"/>
      <c r="Y148" s="18"/>
      <c r="Z148" s="18"/>
      <c r="AA148" s="18"/>
      <c r="AB148" s="18"/>
      <c r="AC148" s="18"/>
      <c r="AO148" s="1515" t="s">
        <v>940</v>
      </c>
      <c r="AP148" s="1579">
        <v>1199</v>
      </c>
      <c r="AQ148" s="1579" t="s">
        <v>940</v>
      </c>
      <c r="AR148" s="17">
        <v>9.6</v>
      </c>
    </row>
    <row r="149" spans="1:44" ht="12.75" x14ac:dyDescent="0.2">
      <c r="A149" s="14"/>
      <c r="B149" s="14"/>
      <c r="C149" s="14"/>
      <c r="D149" s="14"/>
      <c r="E149" s="14"/>
      <c r="F149" s="14"/>
      <c r="G149" s="14"/>
      <c r="H149" s="14"/>
      <c r="I149" s="14"/>
      <c r="J149" s="14"/>
      <c r="K149" s="14"/>
      <c r="L149" s="14"/>
      <c r="M149" s="18"/>
      <c r="N149" s="18"/>
      <c r="O149" s="18"/>
      <c r="P149" s="18"/>
      <c r="Q149" s="18"/>
      <c r="R149" s="18"/>
      <c r="S149" s="18"/>
      <c r="T149" s="18"/>
      <c r="U149" s="18"/>
      <c r="V149" s="18"/>
      <c r="W149" s="18"/>
      <c r="X149" s="18"/>
      <c r="Y149" s="18"/>
      <c r="Z149" s="18"/>
      <c r="AA149" s="18"/>
      <c r="AB149" s="18"/>
      <c r="AC149" s="18"/>
      <c r="AO149" s="1515" t="s">
        <v>935</v>
      </c>
      <c r="AP149" s="1579">
        <v>1636</v>
      </c>
      <c r="AQ149" s="1579" t="s">
        <v>935</v>
      </c>
      <c r="AR149" s="17">
        <v>13.5</v>
      </c>
    </row>
    <row r="150" spans="1:44" ht="12.75" x14ac:dyDescent="0.2">
      <c r="A150" s="14"/>
      <c r="B150" s="14"/>
      <c r="C150" s="14"/>
      <c r="D150" s="14"/>
      <c r="E150" s="14"/>
      <c r="F150" s="14"/>
      <c r="G150" s="14"/>
      <c r="H150" s="14"/>
      <c r="I150" s="14"/>
      <c r="J150" s="14"/>
      <c r="K150" s="14"/>
      <c r="L150" s="14"/>
      <c r="M150" s="18"/>
      <c r="N150" s="18"/>
      <c r="O150" s="18"/>
      <c r="P150" s="18"/>
      <c r="Q150" s="18"/>
      <c r="R150" s="18"/>
      <c r="S150" s="18"/>
      <c r="T150" s="18"/>
      <c r="U150" s="18"/>
      <c r="V150" s="18"/>
      <c r="W150" s="18"/>
      <c r="X150" s="18"/>
      <c r="Y150" s="18"/>
      <c r="Z150" s="18"/>
      <c r="AA150" s="18"/>
      <c r="AB150" s="18"/>
      <c r="AC150" s="18"/>
      <c r="AO150" s="1515" t="s">
        <v>941</v>
      </c>
      <c r="AP150" s="1579">
        <v>1673</v>
      </c>
      <c r="AQ150" s="1579" t="s">
        <v>941</v>
      </c>
      <c r="AR150" s="17">
        <v>13.5</v>
      </c>
    </row>
    <row r="151" spans="1:44" ht="12.75" x14ac:dyDescent="0.2">
      <c r="A151" s="14"/>
      <c r="B151" s="14"/>
      <c r="C151" s="14"/>
      <c r="D151" s="14"/>
      <c r="E151" s="14"/>
      <c r="F151" s="14"/>
      <c r="G151" s="14"/>
      <c r="H151" s="14"/>
      <c r="I151" s="14"/>
      <c r="J151" s="14"/>
      <c r="K151" s="14"/>
      <c r="L151" s="14"/>
      <c r="M151" s="18"/>
      <c r="N151" s="18"/>
      <c r="O151" s="18"/>
      <c r="P151" s="18"/>
      <c r="Q151" s="18"/>
      <c r="R151" s="18"/>
      <c r="S151" s="18"/>
      <c r="T151" s="18"/>
      <c r="U151" s="18"/>
      <c r="V151" s="18"/>
      <c r="W151" s="18"/>
      <c r="X151" s="18"/>
      <c r="Y151" s="18"/>
      <c r="Z151" s="18"/>
      <c r="AA151" s="18"/>
      <c r="AB151" s="18"/>
      <c r="AC151" s="18"/>
      <c r="AO151" s="1515" t="s">
        <v>936</v>
      </c>
      <c r="AP151" s="1579">
        <v>2163</v>
      </c>
      <c r="AQ151" s="1579" t="s">
        <v>936</v>
      </c>
      <c r="AR151" s="17">
        <v>17.899999999999999</v>
      </c>
    </row>
    <row r="152" spans="1:44" ht="12.75" x14ac:dyDescent="0.2">
      <c r="A152" s="14"/>
      <c r="B152" s="14"/>
      <c r="C152" s="14"/>
      <c r="D152" s="14"/>
      <c r="E152" s="14"/>
      <c r="F152" s="14"/>
      <c r="G152" s="14"/>
      <c r="H152" s="14"/>
      <c r="I152" s="14"/>
      <c r="J152" s="14"/>
      <c r="K152" s="14"/>
      <c r="L152" s="14"/>
      <c r="M152" s="18"/>
      <c r="N152" s="18"/>
      <c r="O152" s="18"/>
      <c r="P152" s="18"/>
      <c r="Q152" s="18"/>
      <c r="R152" s="18"/>
      <c r="S152" s="18"/>
      <c r="T152" s="18"/>
      <c r="U152" s="18"/>
      <c r="V152" s="18"/>
      <c r="W152" s="18"/>
      <c r="X152" s="18"/>
      <c r="Y152" s="18"/>
      <c r="Z152" s="18"/>
      <c r="AA152" s="18"/>
      <c r="AB152" s="18"/>
      <c r="AC152" s="18"/>
      <c r="AO152" s="1515" t="s">
        <v>943</v>
      </c>
      <c r="AP152" s="1579">
        <v>2236</v>
      </c>
      <c r="AQ152" s="1579" t="s">
        <v>943</v>
      </c>
      <c r="AR152" s="17">
        <v>18</v>
      </c>
    </row>
    <row r="153" spans="1:44" ht="12.75" x14ac:dyDescent="0.2">
      <c r="A153" s="14"/>
      <c r="B153" s="14"/>
      <c r="C153" s="14"/>
      <c r="D153" s="14"/>
      <c r="E153" s="14"/>
      <c r="F153" s="14"/>
      <c r="G153" s="14"/>
      <c r="H153" s="14"/>
      <c r="I153" s="14"/>
      <c r="J153" s="14"/>
      <c r="K153" s="14"/>
      <c r="L153" s="14"/>
      <c r="M153" s="18"/>
      <c r="N153" s="18"/>
      <c r="O153" s="18"/>
      <c r="P153" s="18"/>
      <c r="Q153" s="18"/>
      <c r="R153" s="18"/>
      <c r="S153" s="18"/>
      <c r="T153" s="18"/>
      <c r="U153" s="18"/>
      <c r="V153" s="18"/>
      <c r="W153" s="18"/>
      <c r="X153" s="18"/>
      <c r="Y153" s="18"/>
      <c r="Z153" s="18"/>
      <c r="AA153" s="18"/>
      <c r="AB153" s="18"/>
      <c r="AC153" s="18"/>
      <c r="AO153" s="1515" t="s">
        <v>942</v>
      </c>
      <c r="AP153" s="1579">
        <v>2319</v>
      </c>
      <c r="AQ153" s="1579" t="s">
        <v>942</v>
      </c>
      <c r="AR153" s="17">
        <v>18</v>
      </c>
    </row>
    <row r="154" spans="1:44" ht="12.75" x14ac:dyDescent="0.2">
      <c r="A154" s="14"/>
      <c r="B154" s="14"/>
      <c r="C154" s="14"/>
      <c r="D154" s="14"/>
      <c r="E154" s="14"/>
      <c r="F154" s="14"/>
      <c r="G154" s="14"/>
      <c r="H154" s="14"/>
      <c r="I154" s="14"/>
      <c r="J154" s="14"/>
      <c r="K154" s="14"/>
      <c r="L154" s="14"/>
      <c r="M154" s="18"/>
      <c r="N154" s="18"/>
      <c r="O154" s="18"/>
      <c r="P154" s="18"/>
      <c r="Q154" s="18"/>
      <c r="R154" s="18"/>
      <c r="S154" s="18"/>
      <c r="T154" s="18"/>
      <c r="U154" s="18"/>
      <c r="V154" s="18"/>
      <c r="W154" s="18"/>
      <c r="X154" s="18"/>
      <c r="Y154" s="18"/>
      <c r="Z154" s="18"/>
      <c r="AA154" s="18"/>
      <c r="AB154" s="18"/>
      <c r="AC154" s="18"/>
      <c r="AO154" s="1515" t="s">
        <v>944</v>
      </c>
      <c r="AP154" s="1579">
        <v>3123</v>
      </c>
      <c r="AQ154" s="1579" t="s">
        <v>944</v>
      </c>
      <c r="AR154" s="17">
        <v>23</v>
      </c>
    </row>
    <row r="155" spans="1:44" ht="12.75" x14ac:dyDescent="0.2">
      <c r="A155" s="14"/>
      <c r="B155" s="14"/>
      <c r="C155" s="14"/>
      <c r="D155" s="14"/>
      <c r="E155" s="14"/>
      <c r="F155" s="14"/>
      <c r="G155" s="14"/>
      <c r="H155" s="14"/>
      <c r="I155" s="14"/>
      <c r="J155" s="14"/>
      <c r="K155" s="14"/>
      <c r="L155" s="14"/>
      <c r="M155" s="18"/>
      <c r="N155" s="18"/>
      <c r="O155" s="18"/>
      <c r="P155" s="18"/>
      <c r="Q155" s="18"/>
      <c r="R155" s="18"/>
      <c r="S155" s="18"/>
      <c r="T155" s="18"/>
      <c r="U155" s="18"/>
      <c r="V155" s="18"/>
      <c r="W155" s="18"/>
      <c r="X155" s="18"/>
      <c r="Y155" s="18"/>
      <c r="Z155" s="18"/>
      <c r="AA155" s="18"/>
      <c r="AB155" s="18"/>
      <c r="AC155" s="18"/>
      <c r="AO155" s="1515" t="s">
        <v>945</v>
      </c>
      <c r="AP155" s="1579">
        <v>3363</v>
      </c>
      <c r="AQ155" s="1579" t="s">
        <v>945</v>
      </c>
      <c r="AR155" s="17">
        <v>26</v>
      </c>
    </row>
    <row r="156" spans="1:44" ht="12.75" x14ac:dyDescent="0.2">
      <c r="A156" s="14"/>
      <c r="B156" s="14"/>
      <c r="C156" s="14"/>
      <c r="D156" s="14"/>
      <c r="E156" s="14"/>
      <c r="F156" s="14"/>
      <c r="G156" s="14"/>
      <c r="H156" s="14"/>
      <c r="I156" s="14"/>
      <c r="J156" s="14"/>
      <c r="K156" s="14"/>
      <c r="L156" s="14"/>
      <c r="M156" s="18"/>
      <c r="N156" s="18"/>
      <c r="O156" s="18"/>
      <c r="P156" s="18"/>
      <c r="Q156" s="18"/>
      <c r="R156" s="18"/>
      <c r="S156" s="18"/>
      <c r="T156" s="18"/>
      <c r="U156" s="18"/>
      <c r="V156" s="18"/>
      <c r="W156" s="18"/>
      <c r="X156" s="18"/>
      <c r="Y156" s="18"/>
      <c r="Z156" s="18"/>
      <c r="AA156" s="18"/>
      <c r="AB156" s="18"/>
      <c r="AC156" s="18"/>
      <c r="AO156" s="1515" t="s">
        <v>946</v>
      </c>
      <c r="AP156" s="1579">
        <v>3603</v>
      </c>
      <c r="AQ156" s="1579" t="s">
        <v>946</v>
      </c>
      <c r="AR156" s="17">
        <v>28</v>
      </c>
    </row>
    <row r="157" spans="1:44" ht="12.75" x14ac:dyDescent="0.2">
      <c r="A157" s="14"/>
      <c r="B157" s="14"/>
      <c r="C157" s="14"/>
      <c r="D157" s="14"/>
      <c r="E157" s="14"/>
      <c r="F157" s="14"/>
      <c r="G157" s="14"/>
      <c r="H157" s="14"/>
      <c r="I157" s="14"/>
      <c r="J157" s="14"/>
      <c r="K157" s="14"/>
      <c r="L157" s="14"/>
      <c r="M157" s="18"/>
      <c r="N157" s="18"/>
      <c r="O157" s="18"/>
      <c r="P157" s="18"/>
      <c r="Q157" s="18"/>
      <c r="R157" s="18"/>
      <c r="S157" s="18"/>
      <c r="T157" s="18"/>
      <c r="U157" s="18"/>
      <c r="V157" s="18"/>
      <c r="W157" s="18"/>
      <c r="X157" s="18"/>
      <c r="Y157" s="18"/>
      <c r="Z157" s="18"/>
      <c r="AA157" s="18"/>
      <c r="AB157" s="18"/>
      <c r="AC157" s="18"/>
      <c r="AO157" s="1515" t="s">
        <v>947</v>
      </c>
      <c r="AP157" s="1579">
        <v>5284</v>
      </c>
      <c r="AQ157" s="1579" t="s">
        <v>947</v>
      </c>
      <c r="AR157" s="17">
        <v>42</v>
      </c>
    </row>
    <row r="158" spans="1:44" ht="12.75" x14ac:dyDescent="0.2">
      <c r="A158" s="14"/>
      <c r="B158" s="14"/>
      <c r="C158" s="14"/>
      <c r="D158" s="14"/>
      <c r="E158" s="14"/>
      <c r="F158" s="14"/>
      <c r="G158" s="14"/>
      <c r="H158" s="14"/>
      <c r="I158" s="14"/>
      <c r="J158" s="14"/>
      <c r="K158" s="14"/>
      <c r="L158" s="14"/>
      <c r="M158" s="18"/>
      <c r="N158" s="18"/>
      <c r="O158" s="18"/>
      <c r="P158" s="18"/>
      <c r="Q158" s="18"/>
      <c r="R158" s="18"/>
      <c r="S158" s="18"/>
      <c r="T158" s="18"/>
      <c r="U158" s="18"/>
      <c r="V158" s="18"/>
      <c r="W158" s="18"/>
      <c r="X158" s="18"/>
      <c r="Y158" s="18"/>
      <c r="Z158" s="18"/>
      <c r="AA158" s="18"/>
      <c r="AB158" s="18"/>
      <c r="AC158" s="18"/>
      <c r="AO158" s="1515" t="s">
        <v>948</v>
      </c>
      <c r="AP158" s="1579">
        <v>5924</v>
      </c>
      <c r="AQ158" s="1579" t="s">
        <v>948</v>
      </c>
      <c r="AR158" s="17">
        <v>47</v>
      </c>
    </row>
    <row r="159" spans="1:44" ht="12.75" x14ac:dyDescent="0.2">
      <c r="A159" s="14"/>
      <c r="B159" s="14"/>
      <c r="C159" s="14"/>
      <c r="D159" s="14"/>
      <c r="E159" s="14"/>
      <c r="F159" s="14"/>
      <c r="G159" s="14"/>
      <c r="H159" s="14"/>
      <c r="I159" s="14"/>
      <c r="J159" s="14"/>
      <c r="K159" s="14"/>
      <c r="L159" s="14"/>
      <c r="M159" s="18"/>
      <c r="N159" s="18"/>
      <c r="O159" s="18"/>
      <c r="P159" s="18"/>
      <c r="Q159" s="18"/>
      <c r="R159" s="18"/>
      <c r="S159" s="18"/>
      <c r="T159" s="18"/>
      <c r="U159" s="18"/>
      <c r="V159" s="18"/>
      <c r="W159" s="18"/>
      <c r="X159" s="18"/>
      <c r="Y159" s="18"/>
      <c r="Z159" s="18"/>
      <c r="AA159" s="18"/>
      <c r="AB159" s="18"/>
      <c r="AC159" s="18"/>
      <c r="AO159" s="1515" t="s">
        <v>949</v>
      </c>
      <c r="AP159" s="1579">
        <v>6564</v>
      </c>
      <c r="AQ159" s="1579" t="s">
        <v>949</v>
      </c>
      <c r="AR159" s="17">
        <v>52</v>
      </c>
    </row>
    <row r="160" spans="1:44" ht="12.75" x14ac:dyDescent="0.2">
      <c r="A160" s="14"/>
      <c r="B160" s="33"/>
      <c r="C160" s="157"/>
      <c r="D160" s="157"/>
      <c r="E160" s="33"/>
      <c r="F160" s="157"/>
      <c r="G160" s="157"/>
      <c r="H160" s="14"/>
      <c r="I160" s="157"/>
      <c r="J160" s="157"/>
      <c r="K160" s="14"/>
      <c r="L160" s="14"/>
      <c r="AO160" s="1515" t="s">
        <v>950</v>
      </c>
      <c r="AP160" s="1579">
        <v>7524</v>
      </c>
      <c r="AQ160" s="1579" t="s">
        <v>950</v>
      </c>
      <c r="AR160" s="17">
        <v>60</v>
      </c>
    </row>
    <row r="161" spans="1:44" ht="12.75" x14ac:dyDescent="0.2">
      <c r="A161" s="14"/>
      <c r="B161" s="33"/>
      <c r="C161" s="157"/>
      <c r="D161" s="157"/>
      <c r="E161" s="33"/>
      <c r="F161" s="157"/>
      <c r="G161" s="157"/>
      <c r="H161" s="14"/>
      <c r="I161" s="157"/>
      <c r="J161" s="157"/>
      <c r="K161" s="14"/>
      <c r="L161" s="14"/>
      <c r="AO161" s="1515" t="s">
        <v>951</v>
      </c>
      <c r="AP161" s="1579">
        <v>9124</v>
      </c>
      <c r="AQ161" s="1579" t="s">
        <v>951</v>
      </c>
      <c r="AR161" s="17">
        <v>72</v>
      </c>
    </row>
    <row r="162" spans="1:44" ht="12.75" x14ac:dyDescent="0.2">
      <c r="A162" s="14"/>
      <c r="B162" s="33"/>
      <c r="C162" s="157"/>
      <c r="D162" s="157"/>
      <c r="E162" s="33"/>
      <c r="F162" s="157"/>
      <c r="G162" s="157"/>
      <c r="H162" s="14"/>
      <c r="I162" s="157"/>
      <c r="J162" s="157"/>
      <c r="K162" s="14"/>
      <c r="L162" s="14"/>
      <c r="AO162" s="1515" t="s">
        <v>952</v>
      </c>
      <c r="AP162" s="1579">
        <v>13257</v>
      </c>
      <c r="AQ162" s="1579" t="s">
        <v>952</v>
      </c>
      <c r="AR162" s="17">
        <v>105</v>
      </c>
    </row>
    <row r="163" spans="1:44" ht="12.75" x14ac:dyDescent="0.2">
      <c r="A163" s="14"/>
      <c r="B163" s="33"/>
      <c r="C163" s="157"/>
      <c r="D163" s="157"/>
      <c r="E163" s="33"/>
      <c r="F163" s="157"/>
      <c r="G163" s="157"/>
      <c r="H163" s="14"/>
      <c r="I163" s="157"/>
      <c r="J163" s="157"/>
      <c r="K163" s="14"/>
      <c r="L163" s="14"/>
      <c r="AO163" s="1515" t="s">
        <v>953</v>
      </c>
      <c r="AP163" s="1579">
        <v>15257</v>
      </c>
      <c r="AQ163" s="1579" t="s">
        <v>953</v>
      </c>
      <c r="AR163" s="17">
        <v>121</v>
      </c>
    </row>
    <row r="164" spans="1:44" ht="12.75" x14ac:dyDescent="0.2">
      <c r="A164" s="14"/>
      <c r="B164" s="33"/>
      <c r="C164" s="157"/>
      <c r="D164" s="157"/>
      <c r="E164" s="33"/>
      <c r="F164" s="157"/>
      <c r="G164" s="157"/>
      <c r="H164" s="14"/>
      <c r="I164" s="157"/>
      <c r="J164" s="157"/>
      <c r="K164" s="14"/>
      <c r="L164" s="14"/>
      <c r="AO164" s="1515" t="s">
        <v>924</v>
      </c>
      <c r="AP164" s="1579">
        <v>25000</v>
      </c>
      <c r="AQ164" s="1579" t="s">
        <v>924</v>
      </c>
      <c r="AR164" s="17"/>
    </row>
    <row r="165" spans="1:44" ht="12.75" x14ac:dyDescent="0.2">
      <c r="A165" s="14"/>
      <c r="B165" s="33"/>
      <c r="C165" s="157"/>
      <c r="D165" s="157"/>
      <c r="E165" s="33"/>
      <c r="F165" s="157"/>
      <c r="G165" s="157"/>
      <c r="H165" s="14"/>
      <c r="I165" s="157"/>
      <c r="J165" s="157"/>
      <c r="K165" s="14"/>
      <c r="L165" s="14"/>
      <c r="AO165" s="1580"/>
      <c r="AP165" s="1581"/>
      <c r="AQ165" s="1581"/>
      <c r="AR165" s="21"/>
    </row>
    <row r="166" spans="1:44" x14ac:dyDescent="0.2">
      <c r="A166" s="14"/>
      <c r="B166" s="33"/>
      <c r="C166" s="157"/>
      <c r="D166" s="157"/>
      <c r="E166" s="33"/>
      <c r="F166" s="157"/>
      <c r="G166" s="157"/>
      <c r="H166" s="14"/>
      <c r="I166" s="157"/>
      <c r="J166" s="157"/>
      <c r="K166" s="14"/>
      <c r="L166" s="14"/>
    </row>
    <row r="167" spans="1:44" x14ac:dyDescent="0.2">
      <c r="A167" s="14"/>
      <c r="B167" s="33"/>
      <c r="C167" s="157"/>
      <c r="D167" s="157"/>
      <c r="E167" s="33"/>
      <c r="F167" s="157"/>
      <c r="G167" s="157"/>
      <c r="H167" s="14"/>
      <c r="I167" s="157"/>
      <c r="J167" s="157"/>
      <c r="K167" s="14"/>
      <c r="L167" s="14"/>
    </row>
    <row r="168" spans="1:44" x14ac:dyDescent="0.2">
      <c r="A168" s="14"/>
      <c r="B168" s="33"/>
      <c r="C168" s="157"/>
      <c r="D168" s="157"/>
      <c r="E168" s="33"/>
      <c r="F168" s="157"/>
      <c r="G168" s="157"/>
      <c r="H168" s="14"/>
      <c r="I168" s="157"/>
      <c r="J168" s="157"/>
      <c r="K168" s="14"/>
      <c r="L168" s="14"/>
    </row>
    <row r="169" spans="1:44" x14ac:dyDescent="0.2">
      <c r="A169" s="14"/>
      <c r="B169" s="33"/>
      <c r="C169" s="157"/>
      <c r="D169" s="157"/>
      <c r="E169" s="33"/>
      <c r="F169" s="157"/>
      <c r="G169" s="157"/>
      <c r="H169" s="14"/>
      <c r="I169" s="157"/>
      <c r="J169" s="157"/>
      <c r="K169" s="14"/>
      <c r="L169" s="14"/>
    </row>
    <row r="170" spans="1:44" x14ac:dyDescent="0.2">
      <c r="A170" s="14"/>
      <c r="B170" s="33"/>
      <c r="C170" s="157"/>
      <c r="D170" s="157"/>
      <c r="E170" s="33"/>
      <c r="F170" s="157"/>
      <c r="G170" s="157"/>
      <c r="H170" s="14"/>
      <c r="I170" s="157"/>
      <c r="J170" s="157"/>
      <c r="K170" s="14"/>
      <c r="L170" s="14"/>
    </row>
    <row r="171" spans="1:44" x14ac:dyDescent="0.2">
      <c r="A171" s="14"/>
      <c r="B171" s="33"/>
      <c r="C171" s="157"/>
      <c r="D171" s="157"/>
      <c r="E171" s="33"/>
      <c r="F171" s="157"/>
      <c r="G171" s="157"/>
      <c r="H171" s="14"/>
      <c r="I171" s="157"/>
      <c r="J171" s="157"/>
      <c r="K171" s="14"/>
      <c r="L171" s="14"/>
    </row>
    <row r="172" spans="1:44" x14ac:dyDescent="0.2">
      <c r="A172" s="14"/>
      <c r="B172" s="33"/>
      <c r="C172" s="157"/>
      <c r="D172" s="157"/>
      <c r="E172" s="33"/>
      <c r="F172" s="157"/>
      <c r="G172" s="157"/>
      <c r="H172" s="14"/>
      <c r="I172" s="157"/>
      <c r="J172" s="157"/>
      <c r="K172" s="14"/>
      <c r="L172" s="14"/>
    </row>
    <row r="173" spans="1:44" x14ac:dyDescent="0.2">
      <c r="A173" s="14"/>
      <c r="B173" s="33"/>
      <c r="C173" s="157"/>
      <c r="D173" s="157"/>
      <c r="E173" s="33"/>
      <c r="F173" s="157"/>
      <c r="G173" s="157"/>
      <c r="H173" s="14"/>
      <c r="I173" s="157"/>
      <c r="J173" s="157"/>
      <c r="K173" s="14"/>
      <c r="L173" s="14"/>
    </row>
    <row r="174" spans="1:44" x14ac:dyDescent="0.2">
      <c r="A174" s="14"/>
      <c r="B174" s="33"/>
      <c r="C174" s="157"/>
      <c r="D174" s="157"/>
      <c r="E174" s="33"/>
      <c r="F174" s="157"/>
      <c r="G174" s="157"/>
      <c r="H174" s="14"/>
      <c r="I174" s="157"/>
      <c r="J174" s="157"/>
      <c r="K174" s="14"/>
      <c r="L174" s="14"/>
    </row>
    <row r="175" spans="1:44" x14ac:dyDescent="0.2">
      <c r="A175" s="14"/>
      <c r="B175" s="33"/>
      <c r="C175" s="157"/>
      <c r="D175" s="157"/>
      <c r="E175" s="33"/>
      <c r="F175" s="157"/>
      <c r="G175" s="157"/>
      <c r="H175" s="14"/>
      <c r="I175" s="157"/>
      <c r="J175" s="157"/>
      <c r="K175" s="14"/>
      <c r="L175" s="14"/>
    </row>
    <row r="176" spans="1:44" x14ac:dyDescent="0.2">
      <c r="A176" s="14"/>
      <c r="B176" s="33"/>
      <c r="C176" s="157"/>
      <c r="D176" s="157"/>
      <c r="E176" s="33"/>
      <c r="F176" s="157"/>
      <c r="G176" s="157"/>
      <c r="H176" s="14"/>
      <c r="I176" s="157"/>
      <c r="J176" s="157"/>
      <c r="K176" s="14"/>
      <c r="L176" s="14"/>
    </row>
    <row r="177" spans="1:12" x14ac:dyDescent="0.2">
      <c r="A177" s="14"/>
      <c r="B177" s="33"/>
      <c r="C177" s="157"/>
      <c r="D177" s="157"/>
      <c r="E177" s="33"/>
      <c r="F177" s="157"/>
      <c r="G177" s="157"/>
      <c r="H177" s="14"/>
      <c r="I177" s="157"/>
      <c r="J177" s="157"/>
      <c r="K177" s="14"/>
      <c r="L177" s="14"/>
    </row>
    <row r="178" spans="1:12" x14ac:dyDescent="0.2">
      <c r="A178" s="14"/>
      <c r="B178" s="33"/>
      <c r="C178" s="157"/>
      <c r="D178" s="157"/>
      <c r="E178" s="33"/>
      <c r="F178" s="157"/>
      <c r="G178" s="157"/>
      <c r="H178" s="14"/>
      <c r="I178" s="157"/>
      <c r="J178" s="157"/>
      <c r="K178" s="14"/>
      <c r="L178" s="14"/>
    </row>
    <row r="179" spans="1:12" x14ac:dyDescent="0.2">
      <c r="A179" s="14"/>
      <c r="B179" s="33"/>
      <c r="C179" s="157"/>
      <c r="D179" s="157"/>
      <c r="E179" s="33"/>
      <c r="F179" s="157"/>
      <c r="G179" s="157"/>
      <c r="H179" s="14"/>
      <c r="I179" s="157"/>
      <c r="J179" s="157"/>
      <c r="K179" s="14"/>
      <c r="L179" s="14"/>
    </row>
    <row r="180" spans="1:12" x14ac:dyDescent="0.2">
      <c r="A180" s="14"/>
      <c r="B180" s="33"/>
      <c r="C180" s="157"/>
      <c r="D180" s="157"/>
      <c r="E180" s="33"/>
      <c r="F180" s="157"/>
      <c r="G180" s="157"/>
      <c r="H180" s="14"/>
      <c r="I180" s="157"/>
      <c r="J180" s="157"/>
      <c r="K180" s="14"/>
      <c r="L180" s="14"/>
    </row>
    <row r="181" spans="1:12" x14ac:dyDescent="0.2">
      <c r="A181" s="14"/>
      <c r="B181" s="33"/>
      <c r="C181" s="157"/>
      <c r="D181" s="157"/>
      <c r="E181" s="33"/>
      <c r="F181" s="157"/>
      <c r="G181" s="157"/>
      <c r="H181" s="14"/>
      <c r="I181" s="157"/>
      <c r="J181" s="157"/>
      <c r="K181" s="14"/>
      <c r="L181" s="14"/>
    </row>
    <row r="182" spans="1:12" x14ac:dyDescent="0.2">
      <c r="A182" s="14"/>
      <c r="B182" s="33"/>
      <c r="C182" s="157"/>
      <c r="D182" s="157"/>
      <c r="E182" s="33"/>
      <c r="F182" s="157"/>
      <c r="G182" s="157"/>
      <c r="H182" s="14"/>
      <c r="I182" s="157"/>
      <c r="J182" s="157"/>
      <c r="K182" s="14"/>
      <c r="L182" s="14"/>
    </row>
    <row r="183" spans="1:12" x14ac:dyDescent="0.2">
      <c r="A183" s="14"/>
      <c r="B183" s="33"/>
      <c r="C183" s="157"/>
      <c r="D183" s="157"/>
      <c r="E183" s="33"/>
      <c r="F183" s="157"/>
      <c r="G183" s="157"/>
      <c r="H183" s="14"/>
      <c r="I183" s="157"/>
      <c r="J183" s="157"/>
      <c r="K183" s="14"/>
      <c r="L183" s="14"/>
    </row>
    <row r="184" spans="1:12" x14ac:dyDescent="0.2">
      <c r="A184" s="14"/>
      <c r="B184" s="33"/>
      <c r="C184" s="157"/>
      <c r="D184" s="157"/>
      <c r="E184" s="33"/>
      <c r="F184" s="157"/>
      <c r="G184" s="157"/>
      <c r="H184" s="14"/>
      <c r="I184" s="157"/>
      <c r="J184" s="157"/>
      <c r="K184" s="14"/>
      <c r="L184" s="14"/>
    </row>
    <row r="185" spans="1:12" x14ac:dyDescent="0.2">
      <c r="A185" s="14"/>
      <c r="B185" s="33"/>
      <c r="C185" s="157"/>
      <c r="D185" s="157"/>
      <c r="E185" s="33"/>
      <c r="F185" s="157"/>
      <c r="G185" s="157"/>
      <c r="H185" s="14"/>
      <c r="I185" s="157"/>
      <c r="J185" s="157"/>
      <c r="K185" s="14"/>
      <c r="L185" s="14"/>
    </row>
    <row r="186" spans="1:12" x14ac:dyDescent="0.2">
      <c r="A186" s="14"/>
      <c r="B186" s="33"/>
      <c r="C186" s="157"/>
      <c r="D186" s="157"/>
      <c r="E186" s="33"/>
      <c r="F186" s="157"/>
      <c r="G186" s="157"/>
      <c r="H186" s="14"/>
      <c r="I186" s="157"/>
      <c r="J186" s="157"/>
      <c r="K186" s="14"/>
      <c r="L186" s="14"/>
    </row>
    <row r="187" spans="1:12" x14ac:dyDescent="0.2">
      <c r="A187" s="14"/>
      <c r="B187" s="33"/>
      <c r="C187" s="157"/>
      <c r="D187" s="157"/>
      <c r="E187" s="33"/>
      <c r="F187" s="157"/>
      <c r="G187" s="157"/>
      <c r="H187" s="14"/>
      <c r="I187" s="157"/>
      <c r="J187" s="157"/>
      <c r="K187" s="14"/>
      <c r="L187" s="14"/>
    </row>
    <row r="188" spans="1:12" x14ac:dyDescent="0.2">
      <c r="A188" s="14"/>
      <c r="B188" s="33"/>
      <c r="C188" s="157"/>
      <c r="D188" s="157"/>
      <c r="E188" s="33"/>
      <c r="F188" s="157"/>
      <c r="G188" s="157"/>
      <c r="H188" s="14"/>
      <c r="I188" s="157"/>
      <c r="J188" s="157"/>
      <c r="K188" s="14"/>
      <c r="L188" s="14"/>
    </row>
    <row r="189" spans="1:12" x14ac:dyDescent="0.2">
      <c r="A189" s="14"/>
      <c r="B189" s="33"/>
      <c r="C189" s="157"/>
      <c r="D189" s="157"/>
      <c r="E189" s="33"/>
      <c r="F189" s="157"/>
      <c r="G189" s="157"/>
      <c r="H189" s="14"/>
      <c r="I189" s="157"/>
      <c r="J189" s="157"/>
      <c r="K189" s="14"/>
      <c r="L189" s="14"/>
    </row>
    <row r="190" spans="1:12" x14ac:dyDescent="0.2">
      <c r="A190" s="14"/>
      <c r="B190" s="33"/>
      <c r="C190" s="157"/>
      <c r="D190" s="157"/>
      <c r="E190" s="33"/>
      <c r="F190" s="157"/>
      <c r="G190" s="157"/>
      <c r="H190" s="14"/>
      <c r="I190" s="157"/>
      <c r="J190" s="157"/>
      <c r="K190" s="14"/>
      <c r="L190" s="14"/>
    </row>
    <row r="191" spans="1:12" x14ac:dyDescent="0.2">
      <c r="A191" s="14"/>
      <c r="B191" s="33"/>
      <c r="C191" s="157"/>
      <c r="D191" s="157"/>
      <c r="E191" s="33"/>
      <c r="F191" s="157"/>
      <c r="G191" s="157"/>
      <c r="H191" s="14"/>
      <c r="I191" s="157"/>
      <c r="J191" s="157"/>
      <c r="K191" s="14"/>
      <c r="L191" s="14"/>
    </row>
    <row r="192" spans="1:12" x14ac:dyDescent="0.2">
      <c r="A192" s="14"/>
      <c r="B192" s="33"/>
      <c r="C192" s="157"/>
      <c r="D192" s="157"/>
      <c r="E192" s="33"/>
      <c r="F192" s="157"/>
      <c r="G192" s="157"/>
      <c r="H192" s="14"/>
      <c r="I192" s="157"/>
      <c r="J192" s="157"/>
      <c r="K192" s="14"/>
      <c r="L192" s="14"/>
    </row>
    <row r="193" spans="1:12" x14ac:dyDescent="0.2">
      <c r="A193" s="14"/>
      <c r="B193" s="33"/>
      <c r="C193" s="157"/>
      <c r="D193" s="157"/>
      <c r="E193" s="33"/>
      <c r="F193" s="157"/>
      <c r="G193" s="157"/>
      <c r="H193" s="14"/>
      <c r="I193" s="157"/>
      <c r="J193" s="157"/>
      <c r="K193" s="14"/>
      <c r="L193" s="14"/>
    </row>
    <row r="194" spans="1:12" x14ac:dyDescent="0.2">
      <c r="A194" s="14"/>
      <c r="B194" s="33"/>
      <c r="C194" s="157"/>
      <c r="D194" s="157"/>
      <c r="E194" s="33"/>
      <c r="F194" s="157"/>
      <c r="G194" s="157"/>
      <c r="H194" s="14"/>
      <c r="I194" s="157"/>
      <c r="J194" s="157"/>
      <c r="K194" s="14"/>
      <c r="L194" s="14"/>
    </row>
    <row r="195" spans="1:12" x14ac:dyDescent="0.2">
      <c r="A195" s="14"/>
      <c r="B195" s="33"/>
      <c r="C195" s="157"/>
      <c r="D195" s="157"/>
      <c r="E195" s="33"/>
      <c r="F195" s="157"/>
      <c r="G195" s="157"/>
      <c r="H195" s="14"/>
      <c r="I195" s="157"/>
      <c r="J195" s="157"/>
      <c r="K195" s="14"/>
      <c r="L195" s="14"/>
    </row>
    <row r="196" spans="1:12" x14ac:dyDescent="0.2">
      <c r="A196" s="14"/>
      <c r="B196" s="33"/>
      <c r="C196" s="157"/>
      <c r="D196" s="157"/>
      <c r="E196" s="33"/>
      <c r="F196" s="157"/>
      <c r="G196" s="157"/>
      <c r="H196" s="14"/>
      <c r="I196" s="157"/>
      <c r="J196" s="157"/>
      <c r="K196" s="14"/>
      <c r="L196" s="14"/>
    </row>
    <row r="197" spans="1:12" x14ac:dyDescent="0.2">
      <c r="A197" s="14"/>
      <c r="B197" s="33"/>
      <c r="C197" s="157"/>
      <c r="D197" s="157"/>
      <c r="E197" s="33"/>
      <c r="F197" s="157"/>
      <c r="G197" s="157"/>
      <c r="H197" s="14"/>
      <c r="I197" s="157"/>
      <c r="J197" s="157"/>
      <c r="K197" s="14"/>
      <c r="L197" s="14"/>
    </row>
    <row r="198" spans="1:12" x14ac:dyDescent="0.2">
      <c r="A198" s="14"/>
      <c r="B198" s="33"/>
      <c r="C198" s="157"/>
      <c r="D198" s="157"/>
      <c r="E198" s="33"/>
      <c r="F198" s="157"/>
      <c r="G198" s="157"/>
      <c r="H198" s="14"/>
      <c r="I198" s="157"/>
      <c r="J198" s="157"/>
      <c r="K198" s="14"/>
      <c r="L198" s="14"/>
    </row>
    <row r="199" spans="1:12" x14ac:dyDescent="0.2">
      <c r="A199" s="14"/>
      <c r="B199" s="33"/>
      <c r="C199" s="157"/>
      <c r="D199" s="157"/>
      <c r="E199" s="33"/>
      <c r="F199" s="157"/>
      <c r="G199" s="157"/>
      <c r="H199" s="14"/>
      <c r="I199" s="157"/>
      <c r="J199" s="157"/>
      <c r="K199" s="14"/>
      <c r="L199" s="14"/>
    </row>
    <row r="200" spans="1:12" x14ac:dyDescent="0.2">
      <c r="A200" s="14"/>
      <c r="B200" s="33"/>
      <c r="C200" s="157"/>
      <c r="D200" s="157"/>
      <c r="E200" s="33"/>
      <c r="F200" s="157"/>
      <c r="G200" s="157"/>
      <c r="H200" s="14"/>
      <c r="I200" s="157"/>
      <c r="J200" s="157"/>
      <c r="K200" s="14"/>
      <c r="L200" s="14"/>
    </row>
    <row r="201" spans="1:12" x14ac:dyDescent="0.2">
      <c r="A201" s="14"/>
      <c r="B201" s="33"/>
      <c r="C201" s="157"/>
      <c r="D201" s="157"/>
      <c r="E201" s="33"/>
      <c r="F201" s="157"/>
      <c r="G201" s="157"/>
      <c r="H201" s="14"/>
      <c r="I201" s="157"/>
      <c r="J201" s="157"/>
      <c r="K201" s="14"/>
      <c r="L201" s="14"/>
    </row>
    <row r="202" spans="1:12" x14ac:dyDescent="0.2">
      <c r="A202" s="14"/>
      <c r="B202" s="33"/>
      <c r="C202" s="157"/>
      <c r="D202" s="157"/>
      <c r="E202" s="33"/>
      <c r="F202" s="157"/>
      <c r="G202" s="157"/>
      <c r="H202" s="14"/>
      <c r="I202" s="157"/>
      <c r="J202" s="157"/>
      <c r="K202" s="14"/>
      <c r="L202" s="14"/>
    </row>
    <row r="203" spans="1:12" x14ac:dyDescent="0.2">
      <c r="A203" s="14"/>
      <c r="B203" s="33"/>
      <c r="C203" s="157"/>
      <c r="D203" s="157"/>
      <c r="E203" s="33"/>
      <c r="F203" s="157"/>
      <c r="G203" s="157"/>
      <c r="H203" s="14"/>
      <c r="I203" s="157"/>
      <c r="J203" s="157"/>
      <c r="K203" s="14"/>
      <c r="L203" s="14"/>
    </row>
    <row r="204" spans="1:12" x14ac:dyDescent="0.2">
      <c r="A204" s="14"/>
      <c r="B204" s="33"/>
      <c r="C204" s="157"/>
      <c r="D204" s="157"/>
      <c r="E204" s="33"/>
      <c r="F204" s="157"/>
      <c r="G204" s="157"/>
      <c r="H204" s="14"/>
      <c r="I204" s="157"/>
      <c r="J204" s="157"/>
      <c r="K204" s="14"/>
      <c r="L204" s="14"/>
    </row>
    <row r="205" spans="1:12" x14ac:dyDescent="0.2">
      <c r="A205" s="14"/>
      <c r="B205" s="33"/>
      <c r="C205" s="157"/>
      <c r="D205" s="157"/>
      <c r="E205" s="33"/>
      <c r="F205" s="157"/>
      <c r="G205" s="157"/>
      <c r="H205" s="14"/>
      <c r="I205" s="157"/>
      <c r="J205" s="157"/>
      <c r="K205" s="14"/>
      <c r="L205" s="14"/>
    </row>
    <row r="206" spans="1:12" x14ac:dyDescent="0.2">
      <c r="A206" s="14"/>
      <c r="B206" s="33"/>
      <c r="C206" s="157"/>
      <c r="D206" s="157"/>
      <c r="E206" s="33"/>
      <c r="F206" s="157"/>
      <c r="G206" s="157"/>
      <c r="H206" s="14"/>
      <c r="I206" s="157"/>
      <c r="J206" s="157"/>
      <c r="K206" s="14"/>
      <c r="L206" s="14"/>
    </row>
    <row r="207" spans="1:12" x14ac:dyDescent="0.2">
      <c r="A207" s="14"/>
      <c r="B207" s="33"/>
      <c r="C207" s="157"/>
      <c r="D207" s="157"/>
      <c r="E207" s="33"/>
      <c r="F207" s="157"/>
      <c r="G207" s="157"/>
      <c r="H207" s="14"/>
      <c r="I207" s="157"/>
      <c r="J207" s="157"/>
      <c r="K207" s="14"/>
      <c r="L207" s="14"/>
    </row>
    <row r="208" spans="1:12" x14ac:dyDescent="0.2">
      <c r="A208" s="14"/>
      <c r="B208" s="33"/>
      <c r="C208" s="157"/>
      <c r="D208" s="157"/>
      <c r="E208" s="33"/>
      <c r="F208" s="157"/>
      <c r="G208" s="157"/>
      <c r="H208" s="14"/>
      <c r="I208" s="157"/>
      <c r="J208" s="157"/>
      <c r="K208" s="14"/>
      <c r="L208" s="14"/>
    </row>
    <row r="209" spans="1:12" x14ac:dyDescent="0.2">
      <c r="A209" s="14"/>
      <c r="B209" s="33"/>
      <c r="C209" s="157"/>
      <c r="D209" s="157"/>
      <c r="E209" s="33"/>
      <c r="F209" s="157"/>
      <c r="G209" s="157"/>
      <c r="H209" s="14"/>
      <c r="I209" s="157"/>
      <c r="J209" s="157"/>
      <c r="K209" s="14"/>
      <c r="L209" s="14"/>
    </row>
    <row r="210" spans="1:12" x14ac:dyDescent="0.2">
      <c r="A210" s="14"/>
      <c r="B210" s="33"/>
      <c r="C210" s="157"/>
      <c r="D210" s="157"/>
      <c r="E210" s="33"/>
      <c r="F210" s="157"/>
      <c r="G210" s="157"/>
      <c r="H210" s="14"/>
      <c r="I210" s="157"/>
      <c r="J210" s="157"/>
      <c r="K210" s="14"/>
      <c r="L210" s="14"/>
    </row>
    <row r="211" spans="1:12" x14ac:dyDescent="0.2">
      <c r="A211" s="14"/>
      <c r="B211" s="33"/>
      <c r="C211" s="157"/>
      <c r="D211" s="157"/>
      <c r="E211" s="33"/>
      <c r="F211" s="157"/>
      <c r="G211" s="157"/>
      <c r="H211" s="14"/>
      <c r="I211" s="157"/>
      <c r="J211" s="157"/>
      <c r="K211" s="14"/>
      <c r="L211" s="14"/>
    </row>
    <row r="212" spans="1:12" x14ac:dyDescent="0.2">
      <c r="A212" s="14"/>
      <c r="B212" s="33"/>
      <c r="C212" s="157"/>
      <c r="D212" s="157"/>
      <c r="E212" s="33"/>
      <c r="F212" s="157"/>
      <c r="G212" s="157"/>
      <c r="H212" s="14"/>
      <c r="I212" s="157"/>
      <c r="J212" s="157"/>
      <c r="K212" s="14"/>
      <c r="L212" s="14"/>
    </row>
    <row r="213" spans="1:12" x14ac:dyDescent="0.2">
      <c r="A213" s="14"/>
      <c r="B213" s="33"/>
      <c r="C213" s="157"/>
      <c r="D213" s="157"/>
      <c r="E213" s="33"/>
      <c r="F213" s="157"/>
      <c r="G213" s="157"/>
      <c r="H213" s="14"/>
      <c r="I213" s="157"/>
      <c r="J213" s="157"/>
      <c r="K213" s="14"/>
      <c r="L213" s="14"/>
    </row>
    <row r="214" spans="1:12" x14ac:dyDescent="0.2">
      <c r="A214" s="14"/>
      <c r="B214" s="33"/>
      <c r="C214" s="157"/>
      <c r="D214" s="157"/>
      <c r="E214" s="33"/>
      <c r="F214" s="157"/>
      <c r="G214" s="157"/>
      <c r="H214" s="14"/>
      <c r="I214" s="157"/>
      <c r="J214" s="157"/>
      <c r="K214" s="14"/>
      <c r="L214" s="14"/>
    </row>
    <row r="215" spans="1:12" x14ac:dyDescent="0.2">
      <c r="A215" s="14"/>
      <c r="B215" s="33"/>
      <c r="C215" s="157"/>
      <c r="D215" s="157"/>
      <c r="E215" s="33"/>
      <c r="F215" s="157"/>
      <c r="G215" s="157"/>
      <c r="H215" s="14"/>
      <c r="I215" s="157"/>
      <c r="J215" s="157"/>
      <c r="K215" s="14"/>
      <c r="L215" s="14"/>
    </row>
    <row r="216" spans="1:12" x14ac:dyDescent="0.2">
      <c r="A216" s="14"/>
      <c r="B216" s="33"/>
      <c r="C216" s="157"/>
      <c r="D216" s="157"/>
      <c r="E216" s="33"/>
      <c r="F216" s="157"/>
      <c r="G216" s="157"/>
      <c r="H216" s="14"/>
      <c r="I216" s="157"/>
      <c r="J216" s="157"/>
      <c r="K216" s="14"/>
      <c r="L216" s="14"/>
    </row>
    <row r="217" spans="1:12" x14ac:dyDescent="0.2">
      <c r="A217" s="14"/>
      <c r="B217" s="33"/>
      <c r="C217" s="157"/>
      <c r="D217" s="157"/>
      <c r="E217" s="33"/>
      <c r="F217" s="157"/>
      <c r="G217" s="157"/>
      <c r="H217" s="14"/>
      <c r="I217" s="157"/>
      <c r="J217" s="157"/>
      <c r="K217" s="14"/>
      <c r="L217" s="14"/>
    </row>
    <row r="218" spans="1:12" x14ac:dyDescent="0.2">
      <c r="A218" s="14"/>
      <c r="B218" s="33"/>
      <c r="C218" s="157"/>
      <c r="D218" s="157"/>
      <c r="E218" s="33"/>
      <c r="F218" s="157"/>
      <c r="G218" s="157"/>
      <c r="H218" s="14"/>
      <c r="I218" s="157"/>
      <c r="J218" s="157"/>
      <c r="K218" s="14"/>
      <c r="L218" s="14"/>
    </row>
    <row r="219" spans="1:12" x14ac:dyDescent="0.2">
      <c r="A219" s="14"/>
      <c r="B219" s="33"/>
      <c r="C219" s="157"/>
      <c r="D219" s="157"/>
      <c r="E219" s="33"/>
      <c r="F219" s="157"/>
      <c r="G219" s="157"/>
      <c r="H219" s="14"/>
      <c r="I219" s="157"/>
      <c r="J219" s="157"/>
      <c r="K219" s="14"/>
      <c r="L219" s="14"/>
    </row>
    <row r="220" spans="1:12" x14ac:dyDescent="0.2">
      <c r="A220" s="14"/>
      <c r="B220" s="33"/>
      <c r="C220" s="157"/>
      <c r="D220" s="157"/>
      <c r="E220" s="33"/>
      <c r="F220" s="157"/>
      <c r="G220" s="157"/>
      <c r="H220" s="14"/>
      <c r="I220" s="157"/>
      <c r="J220" s="157"/>
      <c r="K220" s="14"/>
      <c r="L220" s="14"/>
    </row>
    <row r="221" spans="1:12" x14ac:dyDescent="0.2">
      <c r="A221" s="14"/>
      <c r="B221" s="33"/>
      <c r="C221" s="157"/>
      <c r="D221" s="157"/>
      <c r="E221" s="33"/>
      <c r="F221" s="157"/>
      <c r="G221" s="157"/>
      <c r="H221" s="14"/>
      <c r="I221" s="157"/>
      <c r="J221" s="157"/>
      <c r="K221" s="14"/>
      <c r="L221" s="14"/>
    </row>
    <row r="222" spans="1:12" x14ac:dyDescent="0.2">
      <c r="A222" s="14"/>
      <c r="B222" s="33"/>
      <c r="C222" s="157"/>
      <c r="D222" s="157"/>
      <c r="E222" s="33"/>
      <c r="F222" s="157"/>
      <c r="G222" s="157"/>
      <c r="H222" s="14"/>
      <c r="I222" s="157"/>
      <c r="J222" s="157"/>
      <c r="K222" s="14"/>
      <c r="L222" s="14"/>
    </row>
    <row r="223" spans="1:12" x14ac:dyDescent="0.2">
      <c r="A223" s="14"/>
      <c r="B223" s="33"/>
      <c r="C223" s="157"/>
      <c r="D223" s="157"/>
      <c r="E223" s="33"/>
      <c r="F223" s="157"/>
      <c r="G223" s="157"/>
      <c r="H223" s="14"/>
      <c r="I223" s="157"/>
      <c r="J223" s="157"/>
      <c r="K223" s="14"/>
      <c r="L223" s="14"/>
    </row>
    <row r="224" spans="1:12" x14ac:dyDescent="0.2">
      <c r="A224" s="14"/>
      <c r="B224" s="33"/>
      <c r="C224" s="157"/>
      <c r="D224" s="157"/>
      <c r="E224" s="33"/>
      <c r="F224" s="157"/>
      <c r="G224" s="157"/>
      <c r="H224" s="14"/>
      <c r="I224" s="157"/>
      <c r="J224" s="157"/>
      <c r="K224" s="14"/>
      <c r="L224" s="14"/>
    </row>
    <row r="225" spans="1:12" x14ac:dyDescent="0.2">
      <c r="A225" s="14"/>
      <c r="B225" s="33"/>
      <c r="C225" s="157"/>
      <c r="D225" s="157"/>
      <c r="E225" s="33"/>
      <c r="F225" s="157"/>
      <c r="G225" s="157"/>
      <c r="H225" s="14"/>
      <c r="I225" s="157"/>
      <c r="J225" s="157"/>
      <c r="K225" s="14"/>
      <c r="L225" s="14"/>
    </row>
    <row r="226" spans="1:12" x14ac:dyDescent="0.2">
      <c r="A226" s="14"/>
      <c r="B226" s="33"/>
      <c r="C226" s="157"/>
      <c r="D226" s="157"/>
      <c r="E226" s="33"/>
      <c r="F226" s="157"/>
      <c r="G226" s="157"/>
      <c r="H226" s="14"/>
      <c r="I226" s="157"/>
      <c r="J226" s="157"/>
      <c r="K226" s="14"/>
      <c r="L226" s="14"/>
    </row>
    <row r="227" spans="1:12" x14ac:dyDescent="0.2">
      <c r="A227" s="14"/>
      <c r="B227" s="33"/>
      <c r="C227" s="157"/>
      <c r="D227" s="157"/>
      <c r="E227" s="33"/>
      <c r="F227" s="157"/>
      <c r="G227" s="157"/>
      <c r="H227" s="14"/>
      <c r="I227" s="157"/>
      <c r="J227" s="157"/>
      <c r="K227" s="14"/>
      <c r="L227" s="14"/>
    </row>
    <row r="228" spans="1:12" x14ac:dyDescent="0.2">
      <c r="A228" s="14"/>
      <c r="B228" s="33"/>
      <c r="C228" s="157"/>
      <c r="D228" s="157"/>
      <c r="E228" s="33"/>
      <c r="F228" s="157"/>
      <c r="G228" s="157"/>
      <c r="H228" s="14"/>
      <c r="I228" s="157"/>
      <c r="J228" s="157"/>
      <c r="K228" s="14"/>
      <c r="L228" s="14"/>
    </row>
    <row r="229" spans="1:12" x14ac:dyDescent="0.2">
      <c r="A229" s="14"/>
      <c r="B229" s="33"/>
      <c r="C229" s="157"/>
      <c r="D229" s="157"/>
      <c r="E229" s="33"/>
      <c r="F229" s="157"/>
      <c r="G229" s="157"/>
      <c r="H229" s="14"/>
      <c r="I229" s="157"/>
      <c r="J229" s="157"/>
      <c r="K229" s="14"/>
      <c r="L229" s="14"/>
    </row>
    <row r="230" spans="1:12" x14ac:dyDescent="0.2">
      <c r="A230" s="14"/>
      <c r="B230" s="33"/>
      <c r="C230" s="157"/>
      <c r="D230" s="157"/>
      <c r="E230" s="33"/>
      <c r="F230" s="157"/>
      <c r="G230" s="157"/>
      <c r="H230" s="14"/>
      <c r="I230" s="157"/>
      <c r="J230" s="157"/>
      <c r="K230" s="14"/>
      <c r="L230" s="14"/>
    </row>
    <row r="231" spans="1:12" x14ac:dyDescent="0.2">
      <c r="A231" s="14"/>
      <c r="B231" s="33"/>
      <c r="C231" s="157"/>
      <c r="D231" s="157"/>
      <c r="E231" s="33"/>
      <c r="F231" s="157"/>
      <c r="G231" s="157"/>
      <c r="H231" s="14"/>
      <c r="I231" s="157"/>
      <c r="J231" s="157"/>
      <c r="K231" s="14"/>
      <c r="L231" s="14"/>
    </row>
    <row r="232" spans="1:12" x14ac:dyDescent="0.2">
      <c r="A232" s="14"/>
      <c r="B232" s="33"/>
      <c r="C232" s="157"/>
      <c r="D232" s="157"/>
      <c r="E232" s="33"/>
      <c r="F232" s="157"/>
      <c r="G232" s="157"/>
      <c r="H232" s="14"/>
      <c r="I232" s="157"/>
      <c r="J232" s="157"/>
      <c r="K232" s="14"/>
      <c r="L232" s="14"/>
    </row>
    <row r="233" spans="1:12" x14ac:dyDescent="0.2">
      <c r="A233" s="14"/>
      <c r="B233" s="33"/>
      <c r="C233" s="157"/>
      <c r="D233" s="157"/>
      <c r="E233" s="33"/>
      <c r="F233" s="157"/>
      <c r="G233" s="157"/>
      <c r="H233" s="14"/>
      <c r="I233" s="157"/>
      <c r="J233" s="157"/>
      <c r="K233" s="14"/>
      <c r="L233" s="14"/>
    </row>
    <row r="234" spans="1:12" x14ac:dyDescent="0.2">
      <c r="A234" s="14"/>
      <c r="B234" s="33"/>
      <c r="C234" s="157"/>
      <c r="D234" s="157"/>
      <c r="E234" s="33"/>
      <c r="F234" s="157"/>
      <c r="G234" s="157"/>
      <c r="H234" s="14"/>
      <c r="I234" s="157"/>
      <c r="J234" s="157"/>
      <c r="K234" s="14"/>
      <c r="L234" s="14"/>
    </row>
    <row r="235" spans="1:12" x14ac:dyDescent="0.2">
      <c r="A235" s="14"/>
      <c r="B235" s="33"/>
      <c r="C235" s="157"/>
      <c r="D235" s="157"/>
      <c r="E235" s="33"/>
      <c r="F235" s="157"/>
      <c r="G235" s="157"/>
      <c r="H235" s="14"/>
      <c r="I235" s="157"/>
      <c r="J235" s="157"/>
      <c r="K235" s="14"/>
      <c r="L235" s="14"/>
    </row>
    <row r="236" spans="1:12" x14ac:dyDescent="0.2">
      <c r="A236" s="14"/>
      <c r="B236" s="33"/>
      <c r="C236" s="157"/>
      <c r="D236" s="157"/>
      <c r="E236" s="33"/>
      <c r="F236" s="157"/>
      <c r="G236" s="157"/>
      <c r="H236" s="14"/>
      <c r="I236" s="157"/>
      <c r="J236" s="157"/>
      <c r="K236" s="14"/>
      <c r="L236" s="14"/>
    </row>
    <row r="237" spans="1:12" x14ac:dyDescent="0.2">
      <c r="A237" s="14"/>
      <c r="B237" s="33"/>
      <c r="C237" s="157"/>
      <c r="D237" s="157"/>
      <c r="E237" s="33"/>
      <c r="F237" s="157"/>
      <c r="G237" s="157"/>
      <c r="H237" s="14"/>
      <c r="I237" s="157"/>
      <c r="J237" s="157"/>
      <c r="K237" s="14"/>
      <c r="L237" s="14"/>
    </row>
    <row r="238" spans="1:12" x14ac:dyDescent="0.2">
      <c r="A238" s="14"/>
      <c r="B238" s="33"/>
      <c r="C238" s="157"/>
      <c r="D238" s="157"/>
      <c r="E238" s="33"/>
      <c r="F238" s="157"/>
      <c r="G238" s="157"/>
      <c r="H238" s="14"/>
      <c r="I238" s="157"/>
      <c r="J238" s="157"/>
      <c r="K238" s="14"/>
      <c r="L238" s="14"/>
    </row>
    <row r="239" spans="1:12" x14ac:dyDescent="0.2">
      <c r="A239" s="14"/>
      <c r="B239" s="33"/>
      <c r="C239" s="157"/>
      <c r="D239" s="157"/>
      <c r="E239" s="33"/>
      <c r="F239" s="157"/>
      <c r="G239" s="157"/>
      <c r="H239" s="14"/>
      <c r="I239" s="157"/>
      <c r="J239" s="157"/>
      <c r="K239" s="14"/>
      <c r="L239" s="14"/>
    </row>
    <row r="240" spans="1:12" x14ac:dyDescent="0.2">
      <c r="A240" s="14"/>
      <c r="B240" s="33"/>
      <c r="C240" s="157"/>
      <c r="D240" s="157"/>
      <c r="E240" s="33"/>
      <c r="F240" s="157"/>
      <c r="G240" s="157"/>
      <c r="H240" s="14"/>
      <c r="I240" s="157"/>
      <c r="J240" s="157"/>
      <c r="K240" s="14"/>
      <c r="L240" s="14"/>
    </row>
    <row r="241" spans="1:12" x14ac:dyDescent="0.2">
      <c r="A241" s="14"/>
      <c r="B241" s="33"/>
      <c r="C241" s="157"/>
      <c r="D241" s="157"/>
      <c r="E241" s="33"/>
      <c r="F241" s="157"/>
      <c r="G241" s="157"/>
      <c r="H241" s="14"/>
      <c r="I241" s="157"/>
      <c r="J241" s="157"/>
      <c r="K241" s="14"/>
      <c r="L241" s="14"/>
    </row>
    <row r="242" spans="1:12" x14ac:dyDescent="0.2">
      <c r="A242" s="14"/>
      <c r="B242" s="33"/>
      <c r="C242" s="157"/>
      <c r="D242" s="157"/>
      <c r="E242" s="33"/>
      <c r="F242" s="157"/>
      <c r="G242" s="157"/>
      <c r="H242" s="14"/>
      <c r="I242" s="157"/>
      <c r="J242" s="157"/>
      <c r="K242" s="14"/>
      <c r="L242" s="14"/>
    </row>
    <row r="243" spans="1:12" x14ac:dyDescent="0.2">
      <c r="A243" s="14"/>
      <c r="B243" s="33"/>
      <c r="C243" s="157"/>
      <c r="D243" s="157"/>
      <c r="E243" s="33"/>
      <c r="F243" s="157"/>
      <c r="G243" s="157"/>
      <c r="H243" s="14"/>
      <c r="I243" s="157"/>
      <c r="J243" s="157"/>
      <c r="K243" s="14"/>
      <c r="L243" s="14"/>
    </row>
    <row r="244" spans="1:12" x14ac:dyDescent="0.2">
      <c r="A244" s="14"/>
      <c r="B244" s="33"/>
      <c r="C244" s="157"/>
      <c r="D244" s="157"/>
      <c r="E244" s="33"/>
      <c r="F244" s="157"/>
      <c r="G244" s="157"/>
      <c r="H244" s="14"/>
      <c r="I244" s="157"/>
      <c r="J244" s="157"/>
      <c r="K244" s="14"/>
      <c r="L244" s="14"/>
    </row>
    <row r="245" spans="1:12" x14ac:dyDescent="0.2">
      <c r="A245" s="14"/>
      <c r="B245" s="33"/>
      <c r="C245" s="157"/>
      <c r="D245" s="157"/>
      <c r="E245" s="33"/>
      <c r="F245" s="157"/>
      <c r="G245" s="157"/>
      <c r="H245" s="14"/>
      <c r="I245" s="157"/>
      <c r="J245" s="157"/>
      <c r="K245" s="14"/>
      <c r="L245" s="14"/>
    </row>
    <row r="246" spans="1:12" x14ac:dyDescent="0.2">
      <c r="A246" s="14"/>
      <c r="B246" s="33"/>
      <c r="C246" s="157"/>
      <c r="D246" s="157"/>
      <c r="E246" s="33"/>
      <c r="F246" s="157"/>
      <c r="G246" s="157"/>
      <c r="H246" s="14"/>
      <c r="I246" s="157"/>
      <c r="J246" s="157"/>
      <c r="K246" s="14"/>
      <c r="L246" s="14"/>
    </row>
    <row r="247" spans="1:12" x14ac:dyDescent="0.2">
      <c r="A247" s="14"/>
      <c r="B247" s="33"/>
      <c r="C247" s="157"/>
      <c r="D247" s="157"/>
      <c r="E247" s="33"/>
      <c r="F247" s="157"/>
      <c r="G247" s="157"/>
      <c r="H247" s="14"/>
      <c r="I247" s="157"/>
      <c r="J247" s="157"/>
      <c r="K247" s="14"/>
      <c r="L247" s="14"/>
    </row>
    <row r="248" spans="1:12" x14ac:dyDescent="0.2">
      <c r="A248" s="14"/>
      <c r="B248" s="33"/>
      <c r="C248" s="157"/>
      <c r="D248" s="157"/>
      <c r="E248" s="33"/>
      <c r="F248" s="157"/>
      <c r="G248" s="157"/>
      <c r="H248" s="14"/>
      <c r="I248" s="157"/>
      <c r="J248" s="157"/>
      <c r="K248" s="14"/>
      <c r="L248" s="14"/>
    </row>
    <row r="249" spans="1:12" x14ac:dyDescent="0.2">
      <c r="A249" s="14"/>
      <c r="B249" s="33"/>
      <c r="C249" s="157"/>
      <c r="D249" s="157"/>
      <c r="E249" s="33"/>
      <c r="F249" s="157"/>
      <c r="G249" s="157"/>
      <c r="H249" s="14"/>
      <c r="I249" s="157"/>
      <c r="J249" s="157"/>
      <c r="K249" s="14"/>
      <c r="L249" s="14"/>
    </row>
    <row r="250" spans="1:12" x14ac:dyDescent="0.2">
      <c r="A250" s="14"/>
      <c r="B250" s="33"/>
      <c r="C250" s="157"/>
      <c r="D250" s="157"/>
      <c r="E250" s="33"/>
      <c r="F250" s="157"/>
      <c r="G250" s="157"/>
      <c r="H250" s="14"/>
      <c r="I250" s="157"/>
      <c r="J250" s="157"/>
      <c r="K250" s="14"/>
      <c r="L250" s="14"/>
    </row>
    <row r="251" spans="1:12" x14ac:dyDescent="0.2">
      <c r="A251" s="14"/>
      <c r="B251" s="33"/>
      <c r="C251" s="157"/>
      <c r="D251" s="157"/>
      <c r="E251" s="33"/>
      <c r="F251" s="157"/>
      <c r="G251" s="157"/>
      <c r="H251" s="14"/>
      <c r="I251" s="157"/>
      <c r="J251" s="157"/>
      <c r="K251" s="14"/>
      <c r="L251" s="14"/>
    </row>
    <row r="252" spans="1:12" x14ac:dyDescent="0.2">
      <c r="A252" s="14"/>
      <c r="B252" s="33"/>
      <c r="C252" s="157"/>
      <c r="D252" s="157"/>
      <c r="E252" s="33"/>
      <c r="F252" s="157"/>
      <c r="G252" s="157"/>
      <c r="H252" s="14"/>
      <c r="I252" s="157"/>
      <c r="J252" s="157"/>
      <c r="K252" s="14"/>
      <c r="L252" s="14"/>
    </row>
    <row r="253" spans="1:12" x14ac:dyDescent="0.2">
      <c r="A253" s="14"/>
      <c r="B253" s="33"/>
      <c r="C253" s="157"/>
      <c r="D253" s="157"/>
      <c r="E253" s="33"/>
      <c r="F253" s="157"/>
      <c r="G253" s="157"/>
      <c r="H253" s="14"/>
      <c r="I253" s="157"/>
      <c r="J253" s="157"/>
      <c r="K253" s="14"/>
      <c r="L253" s="14"/>
    </row>
    <row r="254" spans="1:12" x14ac:dyDescent="0.2">
      <c r="A254" s="14"/>
      <c r="B254" s="33"/>
      <c r="C254" s="157"/>
      <c r="D254" s="157"/>
      <c r="E254" s="33"/>
      <c r="F254" s="157"/>
      <c r="G254" s="157"/>
      <c r="H254" s="14"/>
      <c r="I254" s="157"/>
      <c r="J254" s="157"/>
      <c r="K254" s="14"/>
      <c r="L254" s="14"/>
    </row>
    <row r="255" spans="1:12" x14ac:dyDescent="0.2">
      <c r="A255" s="14"/>
      <c r="B255" s="33"/>
      <c r="C255" s="157"/>
      <c r="D255" s="157"/>
      <c r="E255" s="33"/>
      <c r="F255" s="157"/>
      <c r="G255" s="157"/>
      <c r="H255" s="14"/>
      <c r="I255" s="157"/>
      <c r="J255" s="157"/>
      <c r="K255" s="14"/>
      <c r="L255" s="14"/>
    </row>
    <row r="256" spans="1:12" x14ac:dyDescent="0.2">
      <c r="A256" s="14"/>
      <c r="B256" s="33"/>
      <c r="C256" s="157"/>
      <c r="D256" s="157"/>
      <c r="E256" s="33"/>
      <c r="F256" s="157"/>
      <c r="G256" s="157"/>
      <c r="H256" s="14"/>
      <c r="I256" s="157"/>
      <c r="J256" s="157"/>
      <c r="K256" s="14"/>
      <c r="L256" s="14"/>
    </row>
    <row r="257" spans="1:12" x14ac:dyDescent="0.2">
      <c r="A257" s="14"/>
      <c r="B257" s="33"/>
      <c r="C257" s="157"/>
      <c r="D257" s="157"/>
      <c r="E257" s="33"/>
      <c r="F257" s="157"/>
      <c r="G257" s="157"/>
      <c r="H257" s="14"/>
      <c r="I257" s="157"/>
      <c r="J257" s="157"/>
      <c r="K257" s="14"/>
      <c r="L257" s="14"/>
    </row>
    <row r="258" spans="1:12" x14ac:dyDescent="0.2">
      <c r="A258" s="14"/>
      <c r="B258" s="33"/>
      <c r="C258" s="157"/>
      <c r="D258" s="157"/>
      <c r="E258" s="33"/>
      <c r="F258" s="157"/>
      <c r="G258" s="157"/>
      <c r="H258" s="14"/>
      <c r="I258" s="157"/>
      <c r="J258" s="157"/>
      <c r="K258" s="14"/>
      <c r="L258" s="14"/>
    </row>
    <row r="259" spans="1:12" x14ac:dyDescent="0.2">
      <c r="A259" s="14"/>
      <c r="B259" s="33"/>
      <c r="C259" s="157"/>
      <c r="D259" s="157"/>
      <c r="E259" s="33"/>
      <c r="F259" s="157"/>
      <c r="G259" s="157"/>
      <c r="H259" s="14"/>
      <c r="I259" s="157"/>
      <c r="J259" s="157"/>
      <c r="K259" s="14"/>
      <c r="L259" s="14"/>
    </row>
    <row r="260" spans="1:12" x14ac:dyDescent="0.2">
      <c r="A260" s="14"/>
      <c r="B260" s="33"/>
      <c r="C260" s="157"/>
      <c r="D260" s="157"/>
      <c r="E260" s="33"/>
      <c r="F260" s="157"/>
      <c r="G260" s="157"/>
      <c r="H260" s="14"/>
      <c r="I260" s="157"/>
      <c r="J260" s="157"/>
      <c r="K260" s="14"/>
      <c r="L260" s="14"/>
    </row>
    <row r="261" spans="1:12" x14ac:dyDescent="0.2">
      <c r="A261" s="14"/>
      <c r="B261" s="33"/>
      <c r="C261" s="157"/>
      <c r="D261" s="157"/>
      <c r="E261" s="33"/>
      <c r="F261" s="157"/>
      <c r="G261" s="157"/>
      <c r="H261" s="14"/>
      <c r="I261" s="157"/>
      <c r="J261" s="157"/>
      <c r="K261" s="14"/>
      <c r="L261" s="14"/>
    </row>
    <row r="262" spans="1:12" x14ac:dyDescent="0.2">
      <c r="A262" s="14"/>
      <c r="B262" s="33"/>
      <c r="C262" s="157"/>
      <c r="D262" s="157"/>
      <c r="E262" s="33"/>
      <c r="F262" s="157"/>
      <c r="G262" s="157"/>
      <c r="H262" s="14"/>
      <c r="I262" s="157"/>
      <c r="J262" s="157"/>
      <c r="K262" s="14"/>
      <c r="L262" s="14"/>
    </row>
    <row r="263" spans="1:12" x14ac:dyDescent="0.2">
      <c r="A263" s="14"/>
      <c r="B263" s="33"/>
      <c r="C263" s="157"/>
      <c r="D263" s="157"/>
      <c r="E263" s="33"/>
      <c r="F263" s="157"/>
      <c r="G263" s="157"/>
      <c r="H263" s="14"/>
      <c r="I263" s="157"/>
      <c r="J263" s="157"/>
      <c r="K263" s="14"/>
      <c r="L263" s="14"/>
    </row>
    <row r="264" spans="1:12" x14ac:dyDescent="0.2">
      <c r="A264" s="14"/>
      <c r="B264" s="33"/>
      <c r="C264" s="157"/>
      <c r="D264" s="157"/>
      <c r="E264" s="33"/>
      <c r="F264" s="157"/>
      <c r="G264" s="157"/>
      <c r="H264" s="14"/>
      <c r="I264" s="157"/>
      <c r="J264" s="157"/>
      <c r="K264" s="14"/>
      <c r="L264" s="14"/>
    </row>
    <row r="265" spans="1:12" x14ac:dyDescent="0.2">
      <c r="A265" s="14"/>
      <c r="B265" s="33"/>
      <c r="C265" s="157"/>
      <c r="D265" s="157"/>
      <c r="E265" s="33"/>
      <c r="F265" s="157"/>
      <c r="G265" s="157"/>
      <c r="H265" s="14"/>
      <c r="I265" s="157"/>
      <c r="J265" s="157"/>
      <c r="K265" s="14"/>
      <c r="L265" s="14"/>
    </row>
    <row r="266" spans="1:12" x14ac:dyDescent="0.2">
      <c r="A266" s="14"/>
      <c r="B266" s="33"/>
      <c r="C266" s="157"/>
      <c r="D266" s="157"/>
      <c r="E266" s="33"/>
      <c r="F266" s="157"/>
      <c r="G266" s="157"/>
      <c r="H266" s="14"/>
      <c r="I266" s="157"/>
      <c r="J266" s="157"/>
      <c r="K266" s="14"/>
      <c r="L266" s="14"/>
    </row>
    <row r="267" spans="1:12" x14ac:dyDescent="0.2">
      <c r="A267" s="14"/>
      <c r="B267" s="33"/>
      <c r="C267" s="157"/>
      <c r="D267" s="157"/>
      <c r="E267" s="33"/>
      <c r="F267" s="157"/>
      <c r="G267" s="157"/>
      <c r="H267" s="14"/>
      <c r="I267" s="157"/>
      <c r="J267" s="157"/>
      <c r="K267" s="14"/>
      <c r="L267" s="14"/>
    </row>
    <row r="268" spans="1:12" x14ac:dyDescent="0.2">
      <c r="A268" s="14"/>
      <c r="B268" s="33"/>
      <c r="C268" s="157"/>
      <c r="D268" s="157"/>
      <c r="E268" s="33"/>
      <c r="F268" s="157"/>
      <c r="G268" s="157"/>
      <c r="H268" s="14"/>
      <c r="I268" s="157"/>
      <c r="J268" s="157"/>
      <c r="K268" s="14"/>
      <c r="L268" s="14"/>
    </row>
    <row r="269" spans="1:12" x14ac:dyDescent="0.2">
      <c r="A269" s="14"/>
      <c r="B269" s="33"/>
      <c r="C269" s="157"/>
      <c r="D269" s="157"/>
      <c r="E269" s="33"/>
      <c r="F269" s="157"/>
      <c r="G269" s="157"/>
      <c r="H269" s="14"/>
      <c r="I269" s="157"/>
      <c r="J269" s="157"/>
      <c r="K269" s="14"/>
      <c r="L269" s="14"/>
    </row>
    <row r="270" spans="1:12" x14ac:dyDescent="0.2">
      <c r="A270" s="14"/>
      <c r="B270" s="33"/>
      <c r="C270" s="157"/>
      <c r="D270" s="157"/>
      <c r="E270" s="33"/>
      <c r="F270" s="157"/>
      <c r="G270" s="157"/>
      <c r="H270" s="14"/>
      <c r="I270" s="157"/>
      <c r="J270" s="157"/>
      <c r="K270" s="14"/>
      <c r="L270" s="14"/>
    </row>
    <row r="271" spans="1:12" x14ac:dyDescent="0.2">
      <c r="A271" s="14"/>
      <c r="B271" s="33"/>
      <c r="C271" s="157"/>
      <c r="D271" s="157"/>
      <c r="E271" s="33"/>
      <c r="F271" s="157"/>
      <c r="G271" s="157"/>
      <c r="H271" s="14"/>
      <c r="I271" s="157"/>
      <c r="J271" s="157"/>
      <c r="K271" s="14"/>
      <c r="L271" s="14"/>
    </row>
    <row r="272" spans="1:12" x14ac:dyDescent="0.2">
      <c r="A272" s="14"/>
      <c r="B272" s="33"/>
      <c r="C272" s="157"/>
      <c r="D272" s="157"/>
      <c r="E272" s="33"/>
      <c r="F272" s="157"/>
      <c r="G272" s="157"/>
      <c r="H272" s="14"/>
      <c r="I272" s="157"/>
      <c r="J272" s="157"/>
      <c r="K272" s="14"/>
      <c r="L272" s="14"/>
    </row>
    <row r="273" spans="1:12" x14ac:dyDescent="0.2">
      <c r="A273" s="14"/>
      <c r="B273" s="33"/>
      <c r="C273" s="157"/>
      <c r="D273" s="157"/>
      <c r="E273" s="33"/>
      <c r="F273" s="157"/>
      <c r="G273" s="157"/>
      <c r="H273" s="14"/>
      <c r="I273" s="157"/>
      <c r="J273" s="157"/>
      <c r="K273" s="14"/>
      <c r="L273" s="14"/>
    </row>
    <row r="274" spans="1:12" x14ac:dyDescent="0.2">
      <c r="A274" s="14"/>
      <c r="B274" s="33"/>
      <c r="C274" s="157"/>
      <c r="D274" s="157"/>
      <c r="E274" s="33"/>
      <c r="F274" s="157"/>
      <c r="G274" s="157"/>
      <c r="H274" s="14"/>
      <c r="I274" s="157"/>
      <c r="J274" s="157"/>
      <c r="K274" s="14"/>
      <c r="L274" s="14"/>
    </row>
    <row r="275" spans="1:12" x14ac:dyDescent="0.2">
      <c r="A275" s="14"/>
      <c r="B275" s="33"/>
      <c r="C275" s="157"/>
      <c r="D275" s="157"/>
      <c r="E275" s="33"/>
      <c r="F275" s="157"/>
      <c r="G275" s="157"/>
      <c r="H275" s="14"/>
      <c r="I275" s="157"/>
      <c r="J275" s="157"/>
      <c r="K275" s="14"/>
      <c r="L275" s="14"/>
    </row>
    <row r="276" spans="1:12" x14ac:dyDescent="0.2">
      <c r="A276" s="14"/>
      <c r="B276" s="33"/>
      <c r="C276" s="157"/>
      <c r="D276" s="157"/>
      <c r="E276" s="33"/>
      <c r="F276" s="157"/>
      <c r="G276" s="157"/>
      <c r="H276" s="14"/>
      <c r="I276" s="157"/>
      <c r="J276" s="157"/>
      <c r="K276" s="14"/>
      <c r="L276" s="14"/>
    </row>
    <row r="277" spans="1:12" x14ac:dyDescent="0.2">
      <c r="A277" s="14"/>
      <c r="B277" s="33"/>
      <c r="C277" s="157"/>
      <c r="D277" s="157"/>
      <c r="E277" s="33"/>
      <c r="F277" s="157"/>
      <c r="G277" s="157"/>
      <c r="H277" s="14"/>
      <c r="I277" s="157"/>
      <c r="J277" s="157"/>
      <c r="K277" s="14"/>
      <c r="L277" s="14"/>
    </row>
    <row r="278" spans="1:12" x14ac:dyDescent="0.2">
      <c r="A278" s="14"/>
      <c r="B278" s="33"/>
      <c r="C278" s="157"/>
      <c r="D278" s="157"/>
      <c r="E278" s="33"/>
      <c r="F278" s="157"/>
      <c r="G278" s="157"/>
      <c r="H278" s="14"/>
      <c r="I278" s="157"/>
      <c r="J278" s="157"/>
      <c r="K278" s="14"/>
      <c r="L278" s="14"/>
    </row>
    <row r="279" spans="1:12" x14ac:dyDescent="0.2">
      <c r="A279" s="14"/>
      <c r="B279" s="33"/>
      <c r="C279" s="157"/>
      <c r="D279" s="157"/>
      <c r="E279" s="33"/>
      <c r="F279" s="157"/>
      <c r="G279" s="157"/>
      <c r="H279" s="14"/>
      <c r="I279" s="157"/>
      <c r="J279" s="157"/>
      <c r="K279" s="14"/>
      <c r="L279" s="14"/>
    </row>
    <row r="280" spans="1:12" x14ac:dyDescent="0.2">
      <c r="A280" s="14"/>
      <c r="B280" s="33"/>
      <c r="C280" s="157"/>
      <c r="D280" s="157"/>
      <c r="E280" s="33"/>
      <c r="F280" s="157"/>
      <c r="G280" s="157"/>
      <c r="H280" s="14"/>
      <c r="I280" s="157"/>
      <c r="J280" s="157"/>
      <c r="K280" s="14"/>
      <c r="L280" s="14"/>
    </row>
    <row r="281" spans="1:12" x14ac:dyDescent="0.2">
      <c r="A281" s="14"/>
      <c r="B281" s="33"/>
      <c r="C281" s="157"/>
      <c r="D281" s="157"/>
      <c r="E281" s="33"/>
      <c r="F281" s="157"/>
      <c r="G281" s="157"/>
      <c r="H281" s="14"/>
      <c r="I281" s="157"/>
      <c r="J281" s="157"/>
      <c r="K281" s="14"/>
      <c r="L281" s="14"/>
    </row>
    <row r="282" spans="1:12" x14ac:dyDescent="0.2">
      <c r="A282" s="14"/>
      <c r="B282" s="33"/>
      <c r="C282" s="157"/>
      <c r="D282" s="157"/>
      <c r="E282" s="33"/>
      <c r="F282" s="157"/>
      <c r="G282" s="157"/>
      <c r="H282" s="14"/>
      <c r="I282" s="157"/>
      <c r="J282" s="157"/>
      <c r="K282" s="14"/>
      <c r="L282" s="14"/>
    </row>
    <row r="283" spans="1:12" x14ac:dyDescent="0.2">
      <c r="A283" s="14"/>
      <c r="B283" s="33"/>
      <c r="C283" s="157"/>
      <c r="D283" s="157"/>
      <c r="E283" s="33"/>
      <c r="F283" s="157"/>
      <c r="G283" s="157"/>
      <c r="H283" s="14"/>
      <c r="I283" s="157"/>
      <c r="J283" s="157"/>
      <c r="K283" s="14"/>
      <c r="L283" s="14"/>
    </row>
    <row r="284" spans="1:12" x14ac:dyDescent="0.2">
      <c r="A284" s="14"/>
      <c r="B284" s="33"/>
      <c r="C284" s="157"/>
      <c r="D284" s="157"/>
      <c r="E284" s="33"/>
      <c r="F284" s="157"/>
      <c r="G284" s="157"/>
      <c r="H284" s="14"/>
      <c r="I284" s="157"/>
      <c r="J284" s="157"/>
      <c r="K284" s="14"/>
      <c r="L284" s="14"/>
    </row>
    <row r="285" spans="1:12" x14ac:dyDescent="0.2">
      <c r="A285" s="14"/>
      <c r="B285" s="33"/>
      <c r="C285" s="157"/>
      <c r="D285" s="157"/>
      <c r="E285" s="33"/>
      <c r="F285" s="157"/>
      <c r="G285" s="157"/>
      <c r="H285" s="14"/>
      <c r="I285" s="157"/>
      <c r="J285" s="157"/>
      <c r="K285" s="14"/>
      <c r="L285" s="14"/>
    </row>
    <row r="286" spans="1:12" x14ac:dyDescent="0.2">
      <c r="A286" s="14"/>
      <c r="B286" s="33"/>
      <c r="C286" s="157"/>
      <c r="D286" s="157"/>
      <c r="E286" s="33"/>
      <c r="F286" s="157"/>
      <c r="G286" s="157"/>
      <c r="H286" s="14"/>
      <c r="I286" s="157"/>
      <c r="J286" s="157"/>
      <c r="K286" s="14"/>
      <c r="L286" s="14"/>
    </row>
    <row r="287" spans="1:12" x14ac:dyDescent="0.2">
      <c r="A287" s="14"/>
      <c r="B287" s="33"/>
      <c r="C287" s="157"/>
      <c r="D287" s="157"/>
      <c r="E287" s="33"/>
      <c r="F287" s="157"/>
      <c r="G287" s="157"/>
      <c r="H287" s="14"/>
      <c r="I287" s="157"/>
      <c r="J287" s="157"/>
      <c r="K287" s="14"/>
      <c r="L287" s="14"/>
    </row>
    <row r="288" spans="1:12" x14ac:dyDescent="0.2">
      <c r="A288" s="14"/>
      <c r="B288" s="33"/>
      <c r="C288" s="157"/>
      <c r="D288" s="157"/>
      <c r="E288" s="33"/>
      <c r="F288" s="157"/>
      <c r="G288" s="157"/>
      <c r="H288" s="14"/>
      <c r="I288" s="157"/>
      <c r="J288" s="157"/>
      <c r="K288" s="14"/>
      <c r="L288" s="14"/>
    </row>
    <row r="289" spans="1:12" x14ac:dyDescent="0.2">
      <c r="A289" s="14"/>
      <c r="B289" s="33"/>
      <c r="C289" s="157"/>
      <c r="D289" s="157"/>
      <c r="E289" s="33"/>
      <c r="F289" s="157"/>
      <c r="G289" s="157"/>
      <c r="H289" s="14"/>
      <c r="I289" s="157"/>
      <c r="J289" s="157"/>
      <c r="K289" s="14"/>
      <c r="L289" s="14"/>
    </row>
    <row r="290" spans="1:12" x14ac:dyDescent="0.2">
      <c r="A290" s="14"/>
      <c r="B290" s="33"/>
      <c r="C290" s="157"/>
      <c r="D290" s="157"/>
      <c r="E290" s="33"/>
      <c r="F290" s="157"/>
      <c r="G290" s="157"/>
      <c r="H290" s="14"/>
      <c r="I290" s="157"/>
      <c r="J290" s="157"/>
      <c r="K290" s="14"/>
      <c r="L290" s="14"/>
    </row>
    <row r="291" spans="1:12" x14ac:dyDescent="0.2">
      <c r="A291" s="14"/>
      <c r="B291" s="33"/>
      <c r="C291" s="157"/>
      <c r="D291" s="157"/>
      <c r="E291" s="33"/>
      <c r="F291" s="157"/>
      <c r="G291" s="157"/>
      <c r="H291" s="14"/>
      <c r="I291" s="157"/>
      <c r="J291" s="157"/>
      <c r="K291" s="14"/>
      <c r="L291" s="14"/>
    </row>
    <row r="292" spans="1:12" x14ac:dyDescent="0.2">
      <c r="A292" s="14"/>
      <c r="B292" s="33"/>
      <c r="C292" s="157"/>
      <c r="D292" s="157"/>
      <c r="E292" s="33"/>
      <c r="F292" s="157"/>
      <c r="G292" s="157"/>
      <c r="H292" s="14"/>
      <c r="I292" s="157"/>
      <c r="J292" s="157"/>
      <c r="K292" s="14"/>
      <c r="L292" s="14"/>
    </row>
    <row r="293" spans="1:12" x14ac:dyDescent="0.2">
      <c r="A293" s="14"/>
      <c r="B293" s="33"/>
      <c r="C293" s="157"/>
      <c r="D293" s="157"/>
      <c r="E293" s="33"/>
      <c r="F293" s="157"/>
      <c r="G293" s="157"/>
      <c r="H293" s="14"/>
      <c r="I293" s="157"/>
      <c r="J293" s="157"/>
      <c r="K293" s="14"/>
      <c r="L293" s="14"/>
    </row>
    <row r="294" spans="1:12" x14ac:dyDescent="0.2">
      <c r="A294" s="14"/>
      <c r="B294" s="33"/>
      <c r="C294" s="157"/>
      <c r="D294" s="157"/>
      <c r="E294" s="33"/>
      <c r="F294" s="157"/>
      <c r="G294" s="157"/>
      <c r="H294" s="14"/>
      <c r="I294" s="157"/>
      <c r="J294" s="157"/>
      <c r="K294" s="14"/>
      <c r="L294" s="14"/>
    </row>
    <row r="295" spans="1:12" x14ac:dyDescent="0.2">
      <c r="A295" s="14"/>
      <c r="B295" s="33"/>
      <c r="C295" s="157"/>
      <c r="D295" s="157"/>
      <c r="E295" s="33"/>
      <c r="F295" s="157"/>
      <c r="G295" s="157"/>
      <c r="H295" s="14"/>
      <c r="I295" s="157"/>
      <c r="J295" s="157"/>
      <c r="K295" s="14"/>
      <c r="L295" s="14"/>
    </row>
    <row r="296" spans="1:12" x14ac:dyDescent="0.2">
      <c r="A296" s="14"/>
      <c r="B296" s="33"/>
      <c r="C296" s="157"/>
      <c r="D296" s="157"/>
      <c r="E296" s="33"/>
      <c r="F296" s="157"/>
      <c r="G296" s="157"/>
      <c r="H296" s="14"/>
      <c r="I296" s="157"/>
      <c r="J296" s="157"/>
      <c r="K296" s="14"/>
      <c r="L296" s="14"/>
    </row>
    <row r="297" spans="1:12" x14ac:dyDescent="0.2">
      <c r="A297" s="14"/>
      <c r="B297" s="33"/>
      <c r="C297" s="157"/>
      <c r="D297" s="157"/>
      <c r="E297" s="33"/>
      <c r="F297" s="157"/>
      <c r="G297" s="157"/>
      <c r="H297" s="14"/>
      <c r="I297" s="157"/>
      <c r="J297" s="157"/>
      <c r="K297" s="14"/>
      <c r="L297" s="14"/>
    </row>
    <row r="298" spans="1:12" x14ac:dyDescent="0.2">
      <c r="A298" s="14"/>
      <c r="B298" s="33"/>
      <c r="C298" s="157"/>
      <c r="D298" s="157"/>
      <c r="E298" s="33"/>
      <c r="F298" s="157"/>
      <c r="G298" s="157"/>
      <c r="H298" s="14"/>
      <c r="I298" s="157"/>
      <c r="J298" s="157"/>
      <c r="K298" s="14"/>
      <c r="L298" s="14"/>
    </row>
    <row r="299" spans="1:12" x14ac:dyDescent="0.2">
      <c r="A299" s="14"/>
      <c r="B299" s="33"/>
      <c r="C299" s="157"/>
      <c r="D299" s="157"/>
      <c r="E299" s="33"/>
      <c r="F299" s="157"/>
      <c r="G299" s="157"/>
      <c r="H299" s="14"/>
      <c r="I299" s="157"/>
      <c r="J299" s="157"/>
      <c r="K299" s="14"/>
      <c r="L299" s="14"/>
    </row>
    <row r="300" spans="1:12" x14ac:dyDescent="0.2">
      <c r="A300" s="14"/>
      <c r="B300" s="33"/>
      <c r="C300" s="157"/>
      <c r="D300" s="157"/>
      <c r="E300" s="33"/>
      <c r="F300" s="157"/>
      <c r="G300" s="157"/>
      <c r="H300" s="14"/>
      <c r="I300" s="157"/>
      <c r="J300" s="157"/>
      <c r="K300" s="14"/>
      <c r="L300" s="14"/>
    </row>
    <row r="301" spans="1:12" x14ac:dyDescent="0.2">
      <c r="A301" s="14"/>
      <c r="B301" s="33"/>
      <c r="C301" s="157"/>
      <c r="D301" s="157"/>
      <c r="E301" s="33"/>
      <c r="F301" s="157"/>
      <c r="G301" s="157"/>
      <c r="H301" s="14"/>
      <c r="I301" s="157"/>
      <c r="J301" s="157"/>
      <c r="K301" s="14"/>
      <c r="L301" s="14"/>
    </row>
    <row r="302" spans="1:12" x14ac:dyDescent="0.2">
      <c r="A302" s="14"/>
      <c r="B302" s="33"/>
      <c r="C302" s="157"/>
      <c r="D302" s="157"/>
      <c r="E302" s="33"/>
      <c r="F302" s="157"/>
      <c r="G302" s="157"/>
      <c r="H302" s="14"/>
      <c r="I302" s="157"/>
      <c r="J302" s="157"/>
      <c r="K302" s="14"/>
      <c r="L302" s="14"/>
    </row>
    <row r="303" spans="1:12" x14ac:dyDescent="0.2">
      <c r="A303" s="14"/>
      <c r="B303" s="33"/>
      <c r="C303" s="157"/>
      <c r="D303" s="157"/>
      <c r="E303" s="33"/>
      <c r="F303" s="157"/>
      <c r="G303" s="157"/>
      <c r="H303" s="14"/>
      <c r="I303" s="157"/>
      <c r="J303" s="157"/>
      <c r="K303" s="14"/>
      <c r="L303" s="14"/>
    </row>
    <row r="304" spans="1:12" x14ac:dyDescent="0.2">
      <c r="A304" s="14"/>
      <c r="B304" s="33"/>
      <c r="C304" s="157"/>
      <c r="D304" s="157"/>
      <c r="E304" s="33"/>
      <c r="F304" s="157"/>
      <c r="G304" s="157"/>
      <c r="H304" s="14"/>
      <c r="I304" s="157"/>
      <c r="J304" s="157"/>
      <c r="K304" s="14"/>
      <c r="L304" s="14"/>
    </row>
    <row r="305" spans="1:12" x14ac:dyDescent="0.2">
      <c r="A305" s="14"/>
      <c r="B305" s="33"/>
      <c r="C305" s="157"/>
      <c r="D305" s="157"/>
      <c r="E305" s="33"/>
      <c r="F305" s="157"/>
      <c r="G305" s="157"/>
      <c r="H305" s="14"/>
      <c r="I305" s="157"/>
      <c r="J305" s="157"/>
      <c r="K305" s="14"/>
      <c r="L305" s="14"/>
    </row>
    <row r="306" spans="1:12" x14ac:dyDescent="0.2">
      <c r="A306" s="14"/>
      <c r="B306" s="33"/>
      <c r="C306" s="157"/>
      <c r="D306" s="157"/>
      <c r="E306" s="33"/>
      <c r="F306" s="157"/>
      <c r="G306" s="157"/>
      <c r="H306" s="14"/>
      <c r="I306" s="157"/>
      <c r="J306" s="157"/>
      <c r="K306" s="14"/>
      <c r="L306" s="14"/>
    </row>
    <row r="307" spans="1:12" x14ac:dyDescent="0.2">
      <c r="A307" s="14"/>
      <c r="B307" s="33"/>
      <c r="C307" s="157"/>
      <c r="D307" s="157"/>
      <c r="E307" s="33"/>
      <c r="F307" s="157"/>
      <c r="G307" s="157"/>
      <c r="H307" s="14"/>
      <c r="I307" s="157"/>
      <c r="J307" s="157"/>
      <c r="K307" s="14"/>
      <c r="L307" s="14"/>
    </row>
    <row r="308" spans="1:12" x14ac:dyDescent="0.2">
      <c r="A308" s="14"/>
      <c r="B308" s="33"/>
      <c r="C308" s="157"/>
      <c r="D308" s="157"/>
      <c r="E308" s="33"/>
      <c r="F308" s="157"/>
      <c r="G308" s="157"/>
      <c r="H308" s="14"/>
      <c r="I308" s="157"/>
      <c r="J308" s="157"/>
      <c r="K308" s="14"/>
      <c r="L308" s="14"/>
    </row>
    <row r="309" spans="1:12" x14ac:dyDescent="0.2">
      <c r="A309" s="14"/>
      <c r="B309" s="33"/>
      <c r="C309" s="157"/>
      <c r="D309" s="157"/>
      <c r="E309" s="33"/>
      <c r="F309" s="157"/>
      <c r="G309" s="157"/>
      <c r="H309" s="14"/>
      <c r="I309" s="157"/>
      <c r="J309" s="157"/>
      <c r="K309" s="14"/>
      <c r="L309" s="14"/>
    </row>
    <row r="310" spans="1:12" x14ac:dyDescent="0.2">
      <c r="A310" s="14"/>
      <c r="B310" s="33"/>
      <c r="C310" s="157"/>
      <c r="D310" s="157"/>
      <c r="E310" s="33"/>
      <c r="F310" s="157"/>
      <c r="G310" s="157"/>
      <c r="H310" s="14"/>
      <c r="I310" s="157"/>
      <c r="J310" s="157"/>
      <c r="K310" s="14"/>
      <c r="L310" s="14"/>
    </row>
    <row r="311" spans="1:12" x14ac:dyDescent="0.2">
      <c r="A311" s="14"/>
      <c r="B311" s="33"/>
      <c r="C311" s="157"/>
      <c r="D311" s="157"/>
      <c r="E311" s="33"/>
      <c r="F311" s="157"/>
      <c r="G311" s="157"/>
      <c r="H311" s="14"/>
      <c r="I311" s="157"/>
      <c r="J311" s="157"/>
      <c r="K311" s="14"/>
      <c r="L311" s="14"/>
    </row>
    <row r="312" spans="1:12" x14ac:dyDescent="0.2">
      <c r="A312" s="14"/>
      <c r="B312" s="33"/>
      <c r="C312" s="157"/>
      <c r="D312" s="157"/>
      <c r="E312" s="33"/>
      <c r="F312" s="157"/>
      <c r="G312" s="157"/>
      <c r="H312" s="14"/>
      <c r="I312" s="157"/>
      <c r="J312" s="157"/>
      <c r="K312" s="14"/>
      <c r="L312" s="14"/>
    </row>
    <row r="313" spans="1:12" x14ac:dyDescent="0.2">
      <c r="A313" s="14"/>
      <c r="B313" s="33"/>
      <c r="C313" s="157"/>
      <c r="D313" s="157"/>
      <c r="E313" s="33"/>
      <c r="F313" s="157"/>
      <c r="G313" s="157"/>
      <c r="H313" s="14"/>
      <c r="I313" s="157"/>
      <c r="J313" s="157"/>
      <c r="K313" s="14"/>
      <c r="L313" s="14"/>
    </row>
    <row r="314" spans="1:12" x14ac:dyDescent="0.2">
      <c r="A314" s="14"/>
      <c r="B314" s="33"/>
      <c r="C314" s="157"/>
      <c r="D314" s="157"/>
      <c r="E314" s="33"/>
      <c r="F314" s="157"/>
      <c r="G314" s="157"/>
      <c r="H314" s="14"/>
      <c r="I314" s="157"/>
      <c r="J314" s="157"/>
      <c r="K314" s="14"/>
      <c r="L314" s="14"/>
    </row>
    <row r="315" spans="1:12" x14ac:dyDescent="0.2">
      <c r="A315" s="14"/>
      <c r="B315" s="33"/>
      <c r="C315" s="157"/>
      <c r="D315" s="157"/>
      <c r="E315" s="33"/>
      <c r="F315" s="157"/>
      <c r="G315" s="157"/>
      <c r="H315" s="14"/>
      <c r="I315" s="157"/>
      <c r="J315" s="157"/>
      <c r="K315" s="14"/>
      <c r="L315" s="14"/>
    </row>
    <row r="316" spans="1:12" x14ac:dyDescent="0.2">
      <c r="A316" s="14"/>
      <c r="B316" s="33"/>
      <c r="C316" s="157"/>
      <c r="D316" s="157"/>
      <c r="E316" s="33"/>
      <c r="F316" s="157"/>
      <c r="G316" s="157"/>
      <c r="H316" s="14"/>
      <c r="I316" s="157"/>
      <c r="J316" s="157"/>
      <c r="K316" s="14"/>
      <c r="L316" s="14"/>
    </row>
    <row r="317" spans="1:12" x14ac:dyDescent="0.2">
      <c r="A317" s="14"/>
      <c r="B317" s="33"/>
      <c r="C317" s="157"/>
      <c r="D317" s="157"/>
      <c r="E317" s="33"/>
      <c r="F317" s="157"/>
      <c r="G317" s="157"/>
      <c r="H317" s="14"/>
      <c r="I317" s="157"/>
      <c r="J317" s="157"/>
      <c r="K317" s="14"/>
      <c r="L317" s="14"/>
    </row>
    <row r="318" spans="1:12" x14ac:dyDescent="0.2">
      <c r="A318" s="14"/>
      <c r="B318" s="33"/>
      <c r="C318" s="157"/>
      <c r="D318" s="157"/>
      <c r="E318" s="33"/>
      <c r="F318" s="157"/>
      <c r="G318" s="157"/>
      <c r="H318" s="14"/>
      <c r="I318" s="157"/>
      <c r="J318" s="157"/>
      <c r="K318" s="14"/>
      <c r="L318" s="14"/>
    </row>
    <row r="319" spans="1:12" x14ac:dyDescent="0.2">
      <c r="A319" s="14"/>
      <c r="B319" s="33"/>
      <c r="C319" s="157"/>
      <c r="D319" s="157"/>
      <c r="E319" s="33"/>
      <c r="F319" s="157"/>
      <c r="G319" s="157"/>
      <c r="H319" s="14"/>
      <c r="I319" s="157"/>
      <c r="J319" s="157"/>
      <c r="K319" s="14"/>
      <c r="L319" s="14"/>
    </row>
    <row r="320" spans="1:12" x14ac:dyDescent="0.2">
      <c r="A320" s="14"/>
      <c r="B320" s="33"/>
      <c r="C320" s="157"/>
      <c r="D320" s="157"/>
      <c r="E320" s="33"/>
      <c r="F320" s="157"/>
      <c r="G320" s="157"/>
      <c r="H320" s="14"/>
      <c r="I320" s="157"/>
      <c r="J320" s="157"/>
      <c r="K320" s="14"/>
      <c r="L320" s="14"/>
    </row>
    <row r="321" spans="1:12" x14ac:dyDescent="0.2">
      <c r="A321" s="14"/>
      <c r="B321" s="33"/>
      <c r="C321" s="157"/>
      <c r="D321" s="157"/>
      <c r="E321" s="33"/>
      <c r="F321" s="157"/>
      <c r="G321" s="157"/>
      <c r="H321" s="14"/>
      <c r="I321" s="157"/>
      <c r="J321" s="157"/>
      <c r="K321" s="14"/>
      <c r="L321" s="14"/>
    </row>
    <row r="322" spans="1:12" x14ac:dyDescent="0.2">
      <c r="A322" s="14"/>
      <c r="B322" s="33"/>
      <c r="C322" s="157"/>
      <c r="D322" s="157"/>
      <c r="E322" s="33"/>
      <c r="F322" s="157"/>
      <c r="G322" s="157"/>
      <c r="H322" s="14"/>
      <c r="I322" s="157"/>
      <c r="J322" s="157"/>
      <c r="K322" s="14"/>
      <c r="L322" s="14"/>
    </row>
    <row r="323" spans="1:12" x14ac:dyDescent="0.2">
      <c r="A323" s="14"/>
      <c r="B323" s="33"/>
      <c r="C323" s="157"/>
      <c r="D323" s="157"/>
      <c r="E323" s="33"/>
      <c r="F323" s="157"/>
      <c r="G323" s="157"/>
      <c r="H323" s="14"/>
      <c r="I323" s="157"/>
      <c r="J323" s="157"/>
      <c r="K323" s="14"/>
      <c r="L323" s="14"/>
    </row>
    <row r="324" spans="1:12" x14ac:dyDescent="0.2">
      <c r="A324" s="14"/>
      <c r="B324" s="33"/>
      <c r="C324" s="157"/>
      <c r="D324" s="157"/>
      <c r="E324" s="33"/>
      <c r="F324" s="157"/>
      <c r="G324" s="157"/>
      <c r="H324" s="14"/>
      <c r="I324" s="157"/>
      <c r="J324" s="157"/>
      <c r="K324" s="14"/>
      <c r="L324" s="14"/>
    </row>
    <row r="325" spans="1:12" x14ac:dyDescent="0.2">
      <c r="A325" s="14"/>
      <c r="B325" s="33"/>
      <c r="C325" s="157"/>
      <c r="D325" s="157"/>
      <c r="E325" s="33"/>
      <c r="F325" s="157"/>
      <c r="G325" s="157"/>
      <c r="H325" s="14"/>
      <c r="I325" s="157"/>
      <c r="J325" s="157"/>
      <c r="K325" s="14"/>
      <c r="L325" s="14"/>
    </row>
    <row r="326" spans="1:12" x14ac:dyDescent="0.2">
      <c r="A326" s="14"/>
      <c r="B326" s="33"/>
      <c r="C326" s="157"/>
      <c r="D326" s="157"/>
      <c r="E326" s="33"/>
      <c r="F326" s="157"/>
      <c r="G326" s="157"/>
      <c r="H326" s="14"/>
      <c r="I326" s="157"/>
      <c r="J326" s="157"/>
      <c r="K326" s="14"/>
      <c r="L326" s="14"/>
    </row>
    <row r="327" spans="1:12" x14ac:dyDescent="0.2">
      <c r="A327" s="14"/>
      <c r="B327" s="33"/>
      <c r="C327" s="157"/>
      <c r="D327" s="157"/>
      <c r="E327" s="33"/>
      <c r="F327" s="157"/>
      <c r="G327" s="157"/>
      <c r="H327" s="14"/>
      <c r="I327" s="157"/>
      <c r="J327" s="157"/>
      <c r="K327" s="14"/>
      <c r="L327" s="14"/>
    </row>
    <row r="328" spans="1:12" x14ac:dyDescent="0.2">
      <c r="A328" s="14"/>
      <c r="B328" s="33"/>
      <c r="C328" s="157"/>
      <c r="D328" s="157"/>
      <c r="E328" s="33"/>
      <c r="F328" s="157"/>
      <c r="G328" s="157"/>
      <c r="H328" s="14"/>
      <c r="I328" s="157"/>
      <c r="J328" s="157"/>
      <c r="K328" s="14"/>
      <c r="L328" s="14"/>
    </row>
    <row r="329" spans="1:12" x14ac:dyDescent="0.2">
      <c r="A329" s="14"/>
      <c r="B329" s="33"/>
      <c r="C329" s="157"/>
      <c r="D329" s="157"/>
      <c r="E329" s="33"/>
      <c r="F329" s="157"/>
      <c r="G329" s="157"/>
      <c r="H329" s="14"/>
      <c r="I329" s="157"/>
      <c r="J329" s="157"/>
      <c r="K329" s="14"/>
      <c r="L329" s="14"/>
    </row>
    <row r="330" spans="1:12" x14ac:dyDescent="0.2">
      <c r="A330" s="14"/>
      <c r="B330" s="33"/>
      <c r="C330" s="157"/>
      <c r="D330" s="157"/>
      <c r="E330" s="33"/>
      <c r="F330" s="157"/>
      <c r="G330" s="157"/>
      <c r="H330" s="14"/>
      <c r="I330" s="157"/>
      <c r="J330" s="157"/>
      <c r="K330" s="14"/>
      <c r="L330" s="14"/>
    </row>
    <row r="331" spans="1:12" x14ac:dyDescent="0.2">
      <c r="A331" s="14"/>
      <c r="B331" s="33"/>
      <c r="C331" s="157"/>
      <c r="D331" s="157"/>
      <c r="E331" s="33"/>
      <c r="F331" s="157"/>
      <c r="G331" s="157"/>
      <c r="H331" s="14"/>
      <c r="I331" s="157"/>
      <c r="J331" s="157"/>
      <c r="K331" s="14"/>
      <c r="L331" s="14"/>
    </row>
    <row r="332" spans="1:12" x14ac:dyDescent="0.2">
      <c r="A332" s="14"/>
      <c r="B332" s="33"/>
      <c r="C332" s="157"/>
      <c r="D332" s="157"/>
      <c r="E332" s="33"/>
      <c r="F332" s="157"/>
      <c r="G332" s="157"/>
      <c r="H332" s="14"/>
      <c r="I332" s="157"/>
      <c r="J332" s="157"/>
      <c r="K332" s="14"/>
      <c r="L332" s="14"/>
    </row>
    <row r="333" spans="1:12" x14ac:dyDescent="0.2">
      <c r="A333" s="14"/>
      <c r="B333" s="33"/>
      <c r="C333" s="157"/>
      <c r="D333" s="157"/>
      <c r="E333" s="33"/>
      <c r="F333" s="157"/>
      <c r="G333" s="157"/>
      <c r="H333" s="14"/>
      <c r="I333" s="157"/>
      <c r="J333" s="157"/>
      <c r="K333" s="14"/>
      <c r="L333" s="14"/>
    </row>
    <row r="334" spans="1:12" x14ac:dyDescent="0.2">
      <c r="A334" s="14"/>
      <c r="B334" s="33"/>
      <c r="C334" s="157"/>
      <c r="D334" s="157"/>
      <c r="E334" s="33"/>
      <c r="F334" s="157"/>
      <c r="G334" s="157"/>
      <c r="H334" s="14"/>
      <c r="I334" s="157"/>
      <c r="J334" s="157"/>
      <c r="K334" s="14"/>
      <c r="L334" s="14"/>
    </row>
    <row r="335" spans="1:12" x14ac:dyDescent="0.2">
      <c r="A335" s="14"/>
      <c r="B335" s="33"/>
      <c r="C335" s="157"/>
      <c r="D335" s="157"/>
      <c r="E335" s="33"/>
      <c r="F335" s="157"/>
      <c r="G335" s="157"/>
      <c r="H335" s="14"/>
      <c r="I335" s="157"/>
      <c r="J335" s="157"/>
      <c r="K335" s="14"/>
      <c r="L335" s="14"/>
    </row>
    <row r="336" spans="1:12" x14ac:dyDescent="0.2">
      <c r="A336" s="14"/>
      <c r="B336" s="33"/>
      <c r="C336" s="157"/>
      <c r="D336" s="157"/>
      <c r="E336" s="33"/>
      <c r="F336" s="157"/>
      <c r="G336" s="157"/>
      <c r="H336" s="14"/>
      <c r="I336" s="157"/>
      <c r="J336" s="157"/>
      <c r="K336" s="14"/>
      <c r="L336" s="14"/>
    </row>
    <row r="337" spans="1:12" x14ac:dyDescent="0.2">
      <c r="A337" s="14"/>
      <c r="B337" s="33"/>
      <c r="C337" s="157"/>
      <c r="D337" s="157"/>
      <c r="E337" s="33"/>
      <c r="F337" s="157"/>
      <c r="G337" s="157"/>
      <c r="H337" s="14"/>
      <c r="I337" s="157"/>
      <c r="J337" s="157"/>
      <c r="K337" s="14"/>
      <c r="L337" s="14"/>
    </row>
    <row r="338" spans="1:12" x14ac:dyDescent="0.2">
      <c r="A338" s="14"/>
      <c r="B338" s="33"/>
      <c r="C338" s="157"/>
      <c r="D338" s="157"/>
      <c r="E338" s="33"/>
      <c r="F338" s="157"/>
      <c r="G338" s="157"/>
      <c r="H338" s="14"/>
      <c r="I338" s="157"/>
      <c r="J338" s="157"/>
      <c r="K338" s="14"/>
      <c r="L338" s="14"/>
    </row>
    <row r="339" spans="1:12" x14ac:dyDescent="0.2">
      <c r="A339" s="14"/>
      <c r="B339" s="33"/>
      <c r="C339" s="157"/>
      <c r="D339" s="157"/>
      <c r="E339" s="33"/>
      <c r="F339" s="157"/>
      <c r="G339" s="157"/>
      <c r="H339" s="14"/>
      <c r="I339" s="157"/>
      <c r="J339" s="157"/>
      <c r="K339" s="14"/>
      <c r="L339" s="14"/>
    </row>
    <row r="340" spans="1:12" x14ac:dyDescent="0.2">
      <c r="A340" s="14"/>
      <c r="B340" s="33"/>
      <c r="C340" s="157"/>
      <c r="D340" s="157"/>
      <c r="E340" s="33"/>
      <c r="F340" s="157"/>
      <c r="G340" s="157"/>
      <c r="H340" s="14"/>
      <c r="I340" s="157"/>
      <c r="J340" s="157"/>
      <c r="K340" s="14"/>
      <c r="L340" s="14"/>
    </row>
    <row r="341" spans="1:12" x14ac:dyDescent="0.2">
      <c r="A341" s="14"/>
      <c r="B341" s="33"/>
      <c r="C341" s="157"/>
      <c r="D341" s="157"/>
      <c r="E341" s="33"/>
      <c r="F341" s="157"/>
      <c r="G341" s="157"/>
      <c r="H341" s="14"/>
      <c r="I341" s="157"/>
      <c r="J341" s="157"/>
      <c r="K341" s="14"/>
      <c r="L341" s="14"/>
    </row>
    <row r="342" spans="1:12" x14ac:dyDescent="0.2">
      <c r="A342" s="14"/>
      <c r="B342" s="33"/>
      <c r="C342" s="157"/>
      <c r="D342" s="157"/>
      <c r="E342" s="33"/>
      <c r="F342" s="157"/>
      <c r="G342" s="157"/>
      <c r="H342" s="14"/>
      <c r="I342" s="157"/>
      <c r="J342" s="157"/>
      <c r="K342" s="14"/>
      <c r="L342" s="14"/>
    </row>
    <row r="343" spans="1:12" x14ac:dyDescent="0.2">
      <c r="A343" s="14"/>
      <c r="B343" s="33"/>
      <c r="C343" s="157"/>
      <c r="D343" s="157"/>
      <c r="E343" s="33"/>
      <c r="F343" s="157"/>
      <c r="G343" s="157"/>
      <c r="H343" s="14"/>
      <c r="I343" s="157"/>
      <c r="J343" s="157"/>
      <c r="K343" s="14"/>
      <c r="L343" s="14"/>
    </row>
    <row r="344" spans="1:12" x14ac:dyDescent="0.2">
      <c r="A344" s="14"/>
      <c r="B344" s="33"/>
      <c r="C344" s="157"/>
      <c r="D344" s="157"/>
      <c r="E344" s="33"/>
      <c r="F344" s="157"/>
      <c r="G344" s="157"/>
      <c r="H344" s="14"/>
      <c r="I344" s="157"/>
      <c r="J344" s="157"/>
      <c r="K344" s="14"/>
      <c r="L344" s="14"/>
    </row>
    <row r="345" spans="1:12" x14ac:dyDescent="0.2">
      <c r="A345" s="14"/>
      <c r="B345" s="33"/>
      <c r="C345" s="157"/>
      <c r="D345" s="157"/>
      <c r="E345" s="33"/>
      <c r="F345" s="157"/>
      <c r="G345" s="157"/>
      <c r="H345" s="14"/>
      <c r="I345" s="157"/>
      <c r="J345" s="157"/>
      <c r="K345" s="14"/>
      <c r="L345" s="14"/>
    </row>
    <row r="346" spans="1:12" x14ac:dyDescent="0.2">
      <c r="A346" s="14"/>
      <c r="B346" s="33"/>
      <c r="C346" s="157"/>
      <c r="D346" s="157"/>
      <c r="E346" s="33"/>
      <c r="F346" s="157"/>
      <c r="G346" s="157"/>
      <c r="H346" s="14"/>
      <c r="I346" s="157"/>
      <c r="J346" s="157"/>
      <c r="K346" s="14"/>
      <c r="L346" s="14"/>
    </row>
    <row r="347" spans="1:12" x14ac:dyDescent="0.2">
      <c r="A347" s="14"/>
      <c r="B347" s="33"/>
      <c r="C347" s="157"/>
      <c r="D347" s="157"/>
      <c r="E347" s="33"/>
      <c r="F347" s="157"/>
      <c r="G347" s="157"/>
      <c r="H347" s="14"/>
      <c r="I347" s="157"/>
      <c r="J347" s="157"/>
      <c r="K347" s="14"/>
      <c r="L347" s="14"/>
    </row>
    <row r="348" spans="1:12" x14ac:dyDescent="0.2">
      <c r="A348" s="14"/>
      <c r="B348" s="33"/>
      <c r="C348" s="157"/>
      <c r="D348" s="157"/>
      <c r="E348" s="33"/>
      <c r="F348" s="157"/>
      <c r="G348" s="157"/>
      <c r="H348" s="14"/>
      <c r="I348" s="157"/>
      <c r="J348" s="157"/>
      <c r="K348" s="14"/>
      <c r="L348" s="14"/>
    </row>
    <row r="349" spans="1:12" x14ac:dyDescent="0.2">
      <c r="A349" s="14"/>
      <c r="B349" s="33"/>
      <c r="C349" s="157"/>
      <c r="D349" s="157"/>
      <c r="E349" s="33"/>
      <c r="F349" s="157"/>
      <c r="G349" s="157"/>
      <c r="H349" s="14"/>
      <c r="I349" s="157"/>
      <c r="J349" s="157"/>
      <c r="K349" s="14"/>
      <c r="L349" s="14"/>
    </row>
    <row r="350" spans="1:12" x14ac:dyDescent="0.2">
      <c r="A350" s="14"/>
      <c r="B350" s="33"/>
      <c r="C350" s="157"/>
      <c r="D350" s="157"/>
      <c r="E350" s="33"/>
      <c r="F350" s="157"/>
      <c r="G350" s="157"/>
      <c r="H350" s="14"/>
      <c r="I350" s="157"/>
      <c r="J350" s="157"/>
      <c r="K350" s="14"/>
      <c r="L350" s="14"/>
    </row>
    <row r="351" spans="1:12" x14ac:dyDescent="0.2">
      <c r="A351" s="14"/>
      <c r="B351" s="33"/>
      <c r="C351" s="157"/>
      <c r="D351" s="157"/>
      <c r="E351" s="33"/>
      <c r="F351" s="157"/>
      <c r="G351" s="157"/>
      <c r="H351" s="14"/>
      <c r="I351" s="157"/>
      <c r="J351" s="157"/>
      <c r="K351" s="14"/>
      <c r="L351" s="14"/>
    </row>
    <row r="352" spans="1:12" x14ac:dyDescent="0.2">
      <c r="A352" s="14"/>
      <c r="B352" s="33"/>
      <c r="C352" s="157"/>
      <c r="D352" s="157"/>
      <c r="E352" s="33"/>
      <c r="F352" s="157"/>
      <c r="G352" s="157"/>
      <c r="H352" s="14"/>
      <c r="I352" s="157"/>
      <c r="J352" s="157"/>
      <c r="K352" s="14"/>
      <c r="L352" s="14"/>
    </row>
    <row r="353" spans="1:12" x14ac:dyDescent="0.2">
      <c r="A353" s="14"/>
      <c r="B353" s="33"/>
      <c r="C353" s="157"/>
      <c r="D353" s="157"/>
      <c r="E353" s="33"/>
      <c r="F353" s="157"/>
      <c r="G353" s="157"/>
      <c r="H353" s="14"/>
      <c r="I353" s="157"/>
      <c r="J353" s="157"/>
      <c r="K353" s="14"/>
      <c r="L353" s="14"/>
    </row>
    <row r="354" spans="1:12" x14ac:dyDescent="0.2">
      <c r="A354" s="14"/>
      <c r="B354" s="33"/>
      <c r="C354" s="157"/>
      <c r="D354" s="157"/>
      <c r="E354" s="33"/>
      <c r="F354" s="157"/>
      <c r="G354" s="157"/>
      <c r="H354" s="14"/>
      <c r="I354" s="157"/>
      <c r="J354" s="157"/>
      <c r="K354" s="14"/>
      <c r="L354" s="14"/>
    </row>
    <row r="355" spans="1:12" x14ac:dyDescent="0.2">
      <c r="A355" s="14"/>
      <c r="B355" s="33"/>
      <c r="C355" s="157"/>
      <c r="D355" s="157"/>
      <c r="E355" s="33"/>
      <c r="F355" s="157"/>
      <c r="G355" s="157"/>
      <c r="H355" s="14"/>
      <c r="I355" s="157"/>
      <c r="J355" s="157"/>
      <c r="K355" s="14"/>
      <c r="L355" s="14"/>
    </row>
    <row r="356" spans="1:12" x14ac:dyDescent="0.2">
      <c r="A356" s="14"/>
      <c r="B356" s="33"/>
      <c r="C356" s="157"/>
      <c r="D356" s="157"/>
      <c r="E356" s="33"/>
      <c r="F356" s="157"/>
      <c r="G356" s="157"/>
      <c r="H356" s="14"/>
      <c r="I356" s="157"/>
      <c r="J356" s="157"/>
      <c r="K356" s="14"/>
      <c r="L356" s="14"/>
    </row>
    <row r="357" spans="1:12" x14ac:dyDescent="0.2">
      <c r="A357" s="14"/>
      <c r="B357" s="33"/>
      <c r="C357" s="157"/>
      <c r="D357" s="157"/>
      <c r="E357" s="33"/>
      <c r="F357" s="157"/>
      <c r="G357" s="157"/>
      <c r="H357" s="14"/>
      <c r="I357" s="157"/>
      <c r="J357" s="157"/>
      <c r="K357" s="14"/>
      <c r="L357" s="14"/>
    </row>
    <row r="358" spans="1:12" x14ac:dyDescent="0.2">
      <c r="A358" s="14"/>
      <c r="B358" s="33"/>
      <c r="C358" s="157"/>
      <c r="D358" s="157"/>
      <c r="E358" s="33"/>
      <c r="F358" s="157"/>
      <c r="G358" s="157"/>
      <c r="H358" s="14"/>
      <c r="I358" s="157"/>
      <c r="J358" s="157"/>
      <c r="K358" s="14"/>
      <c r="L358" s="14"/>
    </row>
    <row r="359" spans="1:12" x14ac:dyDescent="0.2">
      <c r="A359" s="14"/>
      <c r="B359" s="33"/>
      <c r="C359" s="157"/>
      <c r="D359" s="157"/>
      <c r="E359" s="33"/>
      <c r="F359" s="157"/>
      <c r="G359" s="157"/>
      <c r="H359" s="14"/>
      <c r="I359" s="157"/>
      <c r="J359" s="157"/>
      <c r="K359" s="14"/>
      <c r="L359" s="14"/>
    </row>
    <row r="360" spans="1:12" x14ac:dyDescent="0.2">
      <c r="A360" s="14"/>
      <c r="B360" s="33"/>
      <c r="C360" s="157"/>
      <c r="D360" s="157"/>
      <c r="E360" s="33"/>
      <c r="F360" s="157"/>
      <c r="G360" s="157"/>
      <c r="H360" s="14"/>
      <c r="I360" s="157"/>
      <c r="J360" s="157"/>
      <c r="K360" s="14"/>
      <c r="L360" s="14"/>
    </row>
    <row r="361" spans="1:12" x14ac:dyDescent="0.2">
      <c r="A361" s="14"/>
      <c r="B361" s="33"/>
      <c r="C361" s="157"/>
      <c r="D361" s="157"/>
      <c r="E361" s="33"/>
      <c r="F361" s="157"/>
      <c r="G361" s="157"/>
      <c r="H361" s="14"/>
      <c r="I361" s="157"/>
      <c r="J361" s="157"/>
      <c r="K361" s="14"/>
      <c r="L361" s="14"/>
    </row>
    <row r="362" spans="1:12" x14ac:dyDescent="0.2">
      <c r="A362" s="14"/>
      <c r="B362" s="33"/>
      <c r="C362" s="157"/>
      <c r="D362" s="157"/>
      <c r="E362" s="33"/>
      <c r="F362" s="157"/>
      <c r="G362" s="157"/>
      <c r="H362" s="14"/>
      <c r="I362" s="157"/>
      <c r="J362" s="157"/>
      <c r="K362" s="14"/>
      <c r="L362" s="14"/>
    </row>
    <row r="363" spans="1:12" x14ac:dyDescent="0.2">
      <c r="A363" s="14"/>
      <c r="B363" s="33"/>
      <c r="C363" s="157"/>
      <c r="D363" s="157"/>
      <c r="E363" s="33"/>
      <c r="F363" s="157"/>
      <c r="G363" s="157"/>
      <c r="H363" s="14"/>
      <c r="I363" s="157"/>
      <c r="J363" s="157"/>
      <c r="K363" s="14"/>
      <c r="L363" s="14"/>
    </row>
    <row r="364" spans="1:12" x14ac:dyDescent="0.2">
      <c r="A364" s="14"/>
      <c r="B364" s="33"/>
      <c r="C364" s="157"/>
      <c r="D364" s="157"/>
      <c r="E364" s="33"/>
      <c r="F364" s="157"/>
      <c r="G364" s="157"/>
      <c r="H364" s="14"/>
      <c r="I364" s="157"/>
      <c r="J364" s="157"/>
      <c r="K364" s="14"/>
      <c r="L364" s="14"/>
    </row>
    <row r="365" spans="1:12" x14ac:dyDescent="0.2">
      <c r="A365" s="14"/>
      <c r="B365" s="33"/>
      <c r="C365" s="157"/>
      <c r="D365" s="157"/>
      <c r="E365" s="33"/>
      <c r="F365" s="157"/>
      <c r="G365" s="157"/>
      <c r="H365" s="14"/>
      <c r="I365" s="157"/>
      <c r="J365" s="157"/>
      <c r="K365" s="14"/>
      <c r="L365" s="14"/>
    </row>
    <row r="366" spans="1:12" x14ac:dyDescent="0.2">
      <c r="A366" s="14"/>
      <c r="B366" s="33"/>
      <c r="C366" s="157"/>
      <c r="D366" s="157"/>
      <c r="E366" s="33"/>
      <c r="F366" s="157"/>
      <c r="G366" s="157"/>
      <c r="H366" s="14"/>
      <c r="I366" s="157"/>
      <c r="J366" s="157"/>
      <c r="K366" s="14"/>
      <c r="L366" s="14"/>
    </row>
    <row r="367" spans="1:12" x14ac:dyDescent="0.2">
      <c r="A367" s="14"/>
      <c r="B367" s="33"/>
      <c r="C367" s="157"/>
      <c r="D367" s="157"/>
      <c r="E367" s="33"/>
      <c r="F367" s="157"/>
      <c r="G367" s="157"/>
      <c r="H367" s="14"/>
      <c r="I367" s="157"/>
      <c r="J367" s="157"/>
      <c r="K367" s="14"/>
      <c r="L367" s="14"/>
    </row>
    <row r="368" spans="1:12" x14ac:dyDescent="0.2">
      <c r="A368" s="14"/>
      <c r="B368" s="33"/>
      <c r="C368" s="157"/>
      <c r="D368" s="157"/>
      <c r="E368" s="33"/>
      <c r="F368" s="157"/>
      <c r="G368" s="157"/>
      <c r="H368" s="14"/>
      <c r="I368" s="157"/>
      <c r="J368" s="157"/>
      <c r="K368" s="14"/>
      <c r="L368" s="14"/>
    </row>
    <row r="369" spans="1:12" x14ac:dyDescent="0.2">
      <c r="A369" s="14"/>
      <c r="B369" s="33"/>
      <c r="C369" s="157"/>
      <c r="D369" s="157"/>
      <c r="E369" s="33"/>
      <c r="F369" s="157"/>
      <c r="G369" s="157"/>
      <c r="H369" s="14"/>
      <c r="I369" s="157"/>
      <c r="J369" s="157"/>
      <c r="K369" s="14"/>
      <c r="L369" s="14"/>
    </row>
    <row r="370" spans="1:12" x14ac:dyDescent="0.2">
      <c r="A370" s="14"/>
      <c r="B370" s="33"/>
      <c r="C370" s="157"/>
      <c r="D370" s="157"/>
      <c r="E370" s="33"/>
      <c r="F370" s="157"/>
      <c r="G370" s="157"/>
      <c r="H370" s="14"/>
      <c r="I370" s="157"/>
      <c r="J370" s="157"/>
      <c r="K370" s="14"/>
      <c r="L370" s="14"/>
    </row>
    <row r="371" spans="1:12" x14ac:dyDescent="0.2">
      <c r="A371" s="14"/>
      <c r="B371" s="33"/>
      <c r="C371" s="157"/>
      <c r="D371" s="157"/>
      <c r="E371" s="33"/>
      <c r="F371" s="157"/>
      <c r="G371" s="157"/>
      <c r="H371" s="14"/>
      <c r="I371" s="157"/>
      <c r="J371" s="157"/>
      <c r="K371" s="14"/>
      <c r="L371" s="14"/>
    </row>
    <row r="372" spans="1:12" x14ac:dyDescent="0.2">
      <c r="A372" s="14"/>
      <c r="B372" s="33"/>
      <c r="C372" s="157"/>
      <c r="D372" s="157"/>
      <c r="E372" s="33"/>
      <c r="F372" s="157"/>
      <c r="G372" s="157"/>
      <c r="H372" s="14"/>
      <c r="I372" s="157"/>
      <c r="J372" s="157"/>
      <c r="K372" s="14"/>
      <c r="L372" s="14"/>
    </row>
    <row r="373" spans="1:12" x14ac:dyDescent="0.2">
      <c r="A373" s="14"/>
      <c r="B373" s="33"/>
      <c r="C373" s="157"/>
      <c r="D373" s="157"/>
      <c r="E373" s="33"/>
      <c r="F373" s="157"/>
      <c r="G373" s="157"/>
      <c r="H373" s="14"/>
      <c r="I373" s="157"/>
      <c r="J373" s="157"/>
      <c r="K373" s="14"/>
      <c r="L373" s="14"/>
    </row>
    <row r="374" spans="1:12" x14ac:dyDescent="0.2">
      <c r="A374" s="14"/>
      <c r="B374" s="33"/>
      <c r="C374" s="157"/>
      <c r="D374" s="157"/>
      <c r="E374" s="33"/>
      <c r="F374" s="157"/>
      <c r="G374" s="157"/>
      <c r="H374" s="14"/>
      <c r="I374" s="157"/>
      <c r="J374" s="157"/>
      <c r="K374" s="14"/>
      <c r="L374" s="14"/>
    </row>
    <row r="375" spans="1:12" x14ac:dyDescent="0.2">
      <c r="A375" s="14"/>
      <c r="B375" s="33"/>
      <c r="C375" s="157"/>
      <c r="D375" s="157"/>
      <c r="E375" s="33"/>
      <c r="F375" s="157"/>
      <c r="G375" s="157"/>
      <c r="H375" s="14"/>
      <c r="I375" s="157"/>
      <c r="J375" s="157"/>
      <c r="K375" s="14"/>
      <c r="L375" s="14"/>
    </row>
    <row r="376" spans="1:12" x14ac:dyDescent="0.2">
      <c r="A376" s="14"/>
      <c r="B376" s="33"/>
      <c r="C376" s="157"/>
      <c r="D376" s="157"/>
      <c r="E376" s="33"/>
      <c r="F376" s="157"/>
      <c r="G376" s="157"/>
      <c r="H376" s="14"/>
      <c r="I376" s="157"/>
      <c r="J376" s="157"/>
      <c r="K376" s="14"/>
      <c r="L376" s="14"/>
    </row>
    <row r="377" spans="1:12" x14ac:dyDescent="0.2">
      <c r="A377" s="14"/>
      <c r="B377" s="33"/>
      <c r="C377" s="157"/>
      <c r="D377" s="157"/>
      <c r="E377" s="33"/>
      <c r="F377" s="157"/>
      <c r="G377" s="157"/>
      <c r="H377" s="14"/>
      <c r="I377" s="157"/>
      <c r="J377" s="157"/>
      <c r="K377" s="14"/>
      <c r="L377" s="14"/>
    </row>
    <row r="378" spans="1:12" x14ac:dyDescent="0.2">
      <c r="A378" s="14"/>
      <c r="B378" s="33"/>
      <c r="C378" s="157"/>
      <c r="D378" s="157"/>
      <c r="E378" s="33"/>
      <c r="F378" s="157"/>
      <c r="G378" s="157"/>
      <c r="H378" s="14"/>
      <c r="I378" s="157"/>
      <c r="J378" s="157"/>
      <c r="K378" s="14"/>
      <c r="L378" s="14"/>
    </row>
    <row r="379" spans="1:12" x14ac:dyDescent="0.2">
      <c r="A379" s="14"/>
      <c r="B379" s="33"/>
      <c r="C379" s="157"/>
      <c r="D379" s="157"/>
      <c r="E379" s="33"/>
      <c r="F379" s="157"/>
      <c r="G379" s="157"/>
      <c r="H379" s="14"/>
      <c r="I379" s="157"/>
      <c r="J379" s="157"/>
      <c r="K379" s="14"/>
      <c r="L379" s="14"/>
    </row>
    <row r="380" spans="1:12" x14ac:dyDescent="0.2">
      <c r="A380" s="14"/>
      <c r="B380" s="33"/>
      <c r="C380" s="157"/>
      <c r="D380" s="157"/>
      <c r="E380" s="33"/>
      <c r="F380" s="157"/>
      <c r="G380" s="157"/>
      <c r="H380" s="14"/>
      <c r="I380" s="157"/>
      <c r="J380" s="157"/>
      <c r="K380" s="14"/>
      <c r="L380" s="14"/>
    </row>
    <row r="381" spans="1:12" x14ac:dyDescent="0.2">
      <c r="A381" s="14"/>
      <c r="B381" s="33"/>
      <c r="C381" s="157"/>
      <c r="D381" s="157"/>
      <c r="E381" s="33"/>
      <c r="F381" s="157"/>
      <c r="G381" s="157"/>
      <c r="H381" s="14"/>
      <c r="I381" s="157"/>
      <c r="J381" s="157"/>
      <c r="K381" s="14"/>
      <c r="L381" s="14"/>
    </row>
    <row r="382" spans="1:12" x14ac:dyDescent="0.2">
      <c r="A382" s="14"/>
      <c r="B382" s="33"/>
      <c r="C382" s="157"/>
      <c r="D382" s="157"/>
      <c r="E382" s="33"/>
      <c r="F382" s="157"/>
      <c r="G382" s="157"/>
      <c r="H382" s="14"/>
      <c r="I382" s="157"/>
      <c r="J382" s="157"/>
      <c r="K382" s="14"/>
      <c r="L382" s="14"/>
    </row>
    <row r="383" spans="1:12" x14ac:dyDescent="0.2">
      <c r="A383" s="14"/>
      <c r="B383" s="33"/>
      <c r="C383" s="157"/>
      <c r="D383" s="157"/>
      <c r="E383" s="33"/>
      <c r="F383" s="157"/>
      <c r="G383" s="157"/>
      <c r="H383" s="14"/>
      <c r="I383" s="157"/>
      <c r="J383" s="157"/>
      <c r="K383" s="14"/>
      <c r="L383" s="14"/>
    </row>
    <row r="384" spans="1:12" x14ac:dyDescent="0.2">
      <c r="A384" s="14"/>
      <c r="B384" s="33"/>
      <c r="C384" s="157"/>
      <c r="D384" s="157"/>
      <c r="E384" s="33"/>
      <c r="F384" s="157"/>
      <c r="G384" s="157"/>
      <c r="H384" s="14"/>
      <c r="I384" s="157"/>
      <c r="J384" s="157"/>
      <c r="K384" s="14"/>
      <c r="L384" s="14"/>
    </row>
    <row r="385" spans="1:12" x14ac:dyDescent="0.2">
      <c r="A385" s="14"/>
      <c r="B385" s="33"/>
      <c r="C385" s="157"/>
      <c r="D385" s="157"/>
      <c r="E385" s="33"/>
      <c r="F385" s="157"/>
      <c r="G385" s="157"/>
      <c r="H385" s="14"/>
      <c r="I385" s="157"/>
      <c r="J385" s="157"/>
      <c r="K385" s="14"/>
      <c r="L385" s="14"/>
    </row>
    <row r="386" spans="1:12" x14ac:dyDescent="0.2">
      <c r="A386" s="14"/>
      <c r="B386" s="33"/>
      <c r="C386" s="157"/>
      <c r="D386" s="157"/>
      <c r="E386" s="33"/>
      <c r="F386" s="157"/>
      <c r="G386" s="157"/>
      <c r="H386" s="14"/>
      <c r="I386" s="157"/>
      <c r="J386" s="157"/>
      <c r="K386" s="14"/>
      <c r="L386" s="14"/>
    </row>
    <row r="387" spans="1:12" x14ac:dyDescent="0.2">
      <c r="A387" s="14"/>
      <c r="B387" s="33"/>
      <c r="C387" s="157"/>
      <c r="D387" s="157"/>
      <c r="E387" s="33"/>
      <c r="F387" s="157"/>
      <c r="G387" s="157"/>
      <c r="H387" s="14"/>
      <c r="I387" s="157"/>
      <c r="J387" s="157"/>
      <c r="K387" s="14"/>
      <c r="L387" s="14"/>
    </row>
    <row r="388" spans="1:12" x14ac:dyDescent="0.2">
      <c r="A388" s="14"/>
      <c r="B388" s="33"/>
      <c r="C388" s="157"/>
      <c r="D388" s="157"/>
      <c r="E388" s="33"/>
      <c r="F388" s="157"/>
      <c r="G388" s="157"/>
      <c r="H388" s="14"/>
      <c r="I388" s="157"/>
      <c r="J388" s="157"/>
      <c r="K388" s="14"/>
      <c r="L388" s="14"/>
    </row>
    <row r="389" spans="1:12" x14ac:dyDescent="0.2">
      <c r="A389" s="14"/>
      <c r="B389" s="33"/>
      <c r="C389" s="157"/>
      <c r="D389" s="157"/>
      <c r="E389" s="33"/>
      <c r="F389" s="157"/>
      <c r="G389" s="157"/>
      <c r="H389" s="14"/>
      <c r="I389" s="157"/>
      <c r="J389" s="157"/>
      <c r="K389" s="14"/>
      <c r="L389" s="14"/>
    </row>
    <row r="390" spans="1:12" x14ac:dyDescent="0.2">
      <c r="A390" s="14"/>
      <c r="B390" s="33"/>
      <c r="C390" s="157"/>
      <c r="D390" s="157"/>
      <c r="E390" s="33"/>
      <c r="F390" s="157"/>
      <c r="G390" s="157"/>
      <c r="H390" s="14"/>
      <c r="I390" s="157"/>
      <c r="J390" s="157"/>
      <c r="K390" s="14"/>
      <c r="L390" s="14"/>
    </row>
    <row r="391" spans="1:12" x14ac:dyDescent="0.2">
      <c r="A391" s="14"/>
      <c r="B391" s="33"/>
      <c r="C391" s="157"/>
      <c r="D391" s="157"/>
      <c r="E391" s="33"/>
      <c r="F391" s="157"/>
      <c r="G391" s="157"/>
      <c r="H391" s="14"/>
      <c r="I391" s="157"/>
      <c r="J391" s="157"/>
      <c r="K391" s="14"/>
      <c r="L391" s="14"/>
    </row>
    <row r="392" spans="1:12" x14ac:dyDescent="0.2">
      <c r="A392" s="14"/>
      <c r="B392" s="33"/>
      <c r="C392" s="157"/>
      <c r="D392" s="157"/>
      <c r="E392" s="33"/>
      <c r="F392" s="157"/>
      <c r="G392" s="157"/>
      <c r="H392" s="14"/>
      <c r="I392" s="157"/>
      <c r="J392" s="157"/>
      <c r="K392" s="14"/>
      <c r="L392" s="14"/>
    </row>
    <row r="393" spans="1:12" x14ac:dyDescent="0.2">
      <c r="A393" s="14"/>
      <c r="B393" s="33"/>
      <c r="C393" s="157"/>
      <c r="D393" s="157"/>
      <c r="E393" s="33"/>
      <c r="F393" s="157"/>
      <c r="G393" s="157"/>
      <c r="H393" s="14"/>
      <c r="I393" s="157"/>
      <c r="J393" s="157"/>
      <c r="K393" s="14"/>
      <c r="L393" s="14"/>
    </row>
    <row r="394" spans="1:12" x14ac:dyDescent="0.2">
      <c r="A394" s="14"/>
      <c r="B394" s="33"/>
      <c r="C394" s="157"/>
      <c r="D394" s="157"/>
      <c r="E394" s="33"/>
      <c r="F394" s="157"/>
      <c r="G394" s="157"/>
      <c r="H394" s="14"/>
      <c r="I394" s="157"/>
      <c r="J394" s="157"/>
      <c r="K394" s="14"/>
      <c r="L394" s="14"/>
    </row>
    <row r="395" spans="1:12" x14ac:dyDescent="0.2">
      <c r="A395" s="14"/>
      <c r="B395" s="33"/>
      <c r="C395" s="157"/>
      <c r="D395" s="157"/>
      <c r="E395" s="33"/>
      <c r="F395" s="157"/>
      <c r="G395" s="157"/>
      <c r="H395" s="14"/>
      <c r="I395" s="157"/>
      <c r="J395" s="157"/>
      <c r="K395" s="14"/>
      <c r="L395" s="14"/>
    </row>
    <row r="396" spans="1:12" x14ac:dyDescent="0.2">
      <c r="A396" s="14"/>
      <c r="B396" s="33"/>
      <c r="C396" s="157"/>
      <c r="D396" s="157"/>
      <c r="E396" s="33"/>
      <c r="F396" s="157"/>
      <c r="G396" s="157"/>
      <c r="H396" s="14"/>
      <c r="I396" s="157"/>
      <c r="J396" s="157"/>
      <c r="K396" s="14"/>
      <c r="L396" s="14"/>
    </row>
    <row r="397" spans="1:12" x14ac:dyDescent="0.2">
      <c r="A397" s="14"/>
      <c r="B397" s="33"/>
      <c r="C397" s="157"/>
      <c r="D397" s="157"/>
      <c r="E397" s="33"/>
      <c r="F397" s="157"/>
      <c r="G397" s="157"/>
      <c r="H397" s="14"/>
      <c r="I397" s="157"/>
      <c r="J397" s="157"/>
      <c r="K397" s="14"/>
      <c r="L397" s="14"/>
    </row>
    <row r="398" spans="1:12" x14ac:dyDescent="0.2">
      <c r="A398" s="14"/>
      <c r="B398" s="33"/>
      <c r="C398" s="157"/>
      <c r="D398" s="157"/>
      <c r="E398" s="33"/>
      <c r="F398" s="157"/>
      <c r="G398" s="157"/>
      <c r="H398" s="14"/>
      <c r="I398" s="157"/>
      <c r="J398" s="157"/>
      <c r="K398" s="14"/>
      <c r="L398" s="14"/>
    </row>
    <row r="399" spans="1:12" x14ac:dyDescent="0.2">
      <c r="A399" s="14"/>
      <c r="B399" s="33"/>
      <c r="C399" s="157"/>
      <c r="D399" s="157"/>
      <c r="E399" s="33"/>
      <c r="F399" s="157"/>
      <c r="G399" s="157"/>
      <c r="H399" s="14"/>
      <c r="I399" s="157"/>
      <c r="J399" s="157"/>
      <c r="K399" s="14"/>
      <c r="L399" s="14"/>
    </row>
    <row r="400" spans="1:12" x14ac:dyDescent="0.2">
      <c r="A400" s="14"/>
      <c r="B400" s="33"/>
      <c r="C400" s="157"/>
      <c r="D400" s="157"/>
      <c r="E400" s="33"/>
      <c r="F400" s="157"/>
      <c r="G400" s="157"/>
      <c r="H400" s="14"/>
      <c r="I400" s="157"/>
      <c r="J400" s="157"/>
      <c r="K400" s="14"/>
      <c r="L400" s="14"/>
    </row>
    <row r="401" spans="1:12" x14ac:dyDescent="0.2">
      <c r="A401" s="14"/>
      <c r="B401" s="33"/>
      <c r="C401" s="157"/>
      <c r="D401" s="157"/>
      <c r="E401" s="33"/>
      <c r="F401" s="157"/>
      <c r="G401" s="157"/>
      <c r="H401" s="14"/>
      <c r="I401" s="157"/>
      <c r="J401" s="157"/>
      <c r="K401" s="14"/>
      <c r="L401" s="14"/>
    </row>
    <row r="402" spans="1:12" x14ac:dyDescent="0.2">
      <c r="A402" s="14"/>
      <c r="B402" s="33"/>
      <c r="C402" s="157"/>
      <c r="D402" s="157"/>
      <c r="E402" s="33"/>
      <c r="F402" s="157"/>
      <c r="G402" s="157"/>
      <c r="H402" s="14"/>
      <c r="I402" s="157"/>
      <c r="J402" s="157"/>
      <c r="K402" s="14"/>
      <c r="L402" s="14"/>
    </row>
    <row r="403" spans="1:12" x14ac:dyDescent="0.2">
      <c r="A403" s="14"/>
      <c r="B403" s="33"/>
      <c r="C403" s="157"/>
      <c r="D403" s="157"/>
      <c r="E403" s="33"/>
      <c r="F403" s="157"/>
      <c r="G403" s="157"/>
      <c r="H403" s="14"/>
      <c r="I403" s="157"/>
      <c r="J403" s="157"/>
      <c r="K403" s="14"/>
      <c r="L403" s="14"/>
    </row>
    <row r="404" spans="1:12" x14ac:dyDescent="0.2">
      <c r="A404" s="14"/>
      <c r="B404" s="33"/>
      <c r="C404" s="157"/>
      <c r="D404" s="157"/>
      <c r="E404" s="33"/>
      <c r="F404" s="157"/>
      <c r="G404" s="157"/>
      <c r="H404" s="14"/>
      <c r="I404" s="157"/>
      <c r="J404" s="157"/>
      <c r="K404" s="14"/>
      <c r="L404" s="14"/>
    </row>
    <row r="405" spans="1:12" x14ac:dyDescent="0.2">
      <c r="A405" s="14"/>
      <c r="B405" s="33"/>
      <c r="C405" s="157"/>
      <c r="D405" s="157"/>
      <c r="E405" s="33"/>
      <c r="F405" s="157"/>
      <c r="G405" s="157"/>
      <c r="H405" s="14"/>
      <c r="I405" s="157"/>
      <c r="J405" s="157"/>
      <c r="K405" s="14"/>
      <c r="L405" s="14"/>
    </row>
    <row r="406" spans="1:12" x14ac:dyDescent="0.2">
      <c r="A406" s="14"/>
      <c r="B406" s="33"/>
      <c r="C406" s="157"/>
      <c r="D406" s="157"/>
      <c r="E406" s="33"/>
      <c r="F406" s="157"/>
      <c r="G406" s="157"/>
      <c r="H406" s="14"/>
      <c r="I406" s="157"/>
      <c r="J406" s="157"/>
      <c r="K406" s="14"/>
      <c r="L406" s="14"/>
    </row>
    <row r="407" spans="1:12" x14ac:dyDescent="0.2">
      <c r="A407" s="14"/>
      <c r="B407" s="33"/>
      <c r="C407" s="157"/>
      <c r="D407" s="157"/>
      <c r="E407" s="33"/>
      <c r="F407" s="157"/>
      <c r="G407" s="157"/>
      <c r="H407" s="14"/>
      <c r="I407" s="157"/>
      <c r="J407" s="157"/>
      <c r="K407" s="14"/>
      <c r="L407" s="14"/>
    </row>
    <row r="408" spans="1:12" x14ac:dyDescent="0.2">
      <c r="A408" s="14"/>
      <c r="B408" s="33"/>
      <c r="C408" s="157"/>
      <c r="D408" s="157"/>
      <c r="E408" s="33"/>
      <c r="F408" s="157"/>
      <c r="G408" s="157"/>
      <c r="H408" s="14"/>
      <c r="I408" s="157"/>
      <c r="J408" s="157"/>
      <c r="K408" s="14"/>
      <c r="L408" s="14"/>
    </row>
    <row r="409" spans="1:12" x14ac:dyDescent="0.2">
      <c r="A409" s="14"/>
      <c r="B409" s="33"/>
      <c r="C409" s="157"/>
      <c r="D409" s="157"/>
      <c r="E409" s="33"/>
      <c r="F409" s="157"/>
      <c r="G409" s="157"/>
      <c r="H409" s="14"/>
      <c r="I409" s="157"/>
      <c r="J409" s="157"/>
      <c r="K409" s="14"/>
      <c r="L409" s="14"/>
    </row>
    <row r="410" spans="1:12" x14ac:dyDescent="0.2">
      <c r="A410" s="14"/>
      <c r="B410" s="33"/>
      <c r="C410" s="157"/>
      <c r="D410" s="157"/>
      <c r="E410" s="33"/>
      <c r="F410" s="157"/>
      <c r="G410" s="157"/>
      <c r="H410" s="14"/>
      <c r="I410" s="157"/>
      <c r="J410" s="157"/>
      <c r="K410" s="14"/>
      <c r="L410" s="14"/>
    </row>
    <row r="411" spans="1:12" x14ac:dyDescent="0.2">
      <c r="A411" s="14"/>
      <c r="B411" s="33"/>
      <c r="C411" s="157"/>
      <c r="D411" s="157"/>
      <c r="E411" s="33"/>
      <c r="F411" s="157"/>
      <c r="G411" s="157"/>
      <c r="H411" s="14"/>
      <c r="I411" s="157"/>
      <c r="J411" s="157"/>
      <c r="K411" s="14"/>
      <c r="L411" s="14"/>
    </row>
    <row r="412" spans="1:12" x14ac:dyDescent="0.2">
      <c r="A412" s="14"/>
      <c r="B412" s="33"/>
      <c r="C412" s="157"/>
      <c r="D412" s="157"/>
      <c r="E412" s="33"/>
      <c r="F412" s="157"/>
      <c r="G412" s="157"/>
      <c r="H412" s="14"/>
      <c r="I412" s="157"/>
      <c r="J412" s="157"/>
      <c r="K412" s="14"/>
      <c r="L412" s="14"/>
    </row>
    <row r="413" spans="1:12" x14ac:dyDescent="0.2">
      <c r="A413" s="14"/>
      <c r="B413" s="33"/>
      <c r="C413" s="157"/>
      <c r="D413" s="157"/>
      <c r="E413" s="33"/>
      <c r="F413" s="157"/>
      <c r="G413" s="157"/>
      <c r="H413" s="14"/>
      <c r="I413" s="157"/>
      <c r="J413" s="157"/>
      <c r="K413" s="14"/>
      <c r="L413" s="14"/>
    </row>
    <row r="414" spans="1:12" x14ac:dyDescent="0.2">
      <c r="A414" s="14"/>
      <c r="B414" s="33"/>
      <c r="C414" s="157"/>
      <c r="D414" s="157"/>
      <c r="E414" s="33"/>
      <c r="F414" s="157"/>
      <c r="G414" s="157"/>
      <c r="H414" s="14"/>
      <c r="I414" s="157"/>
      <c r="J414" s="157"/>
      <c r="K414" s="14"/>
      <c r="L414" s="14"/>
    </row>
    <row r="415" spans="1:12" x14ac:dyDescent="0.2">
      <c r="A415" s="14"/>
      <c r="B415" s="33"/>
      <c r="C415" s="157"/>
      <c r="D415" s="157"/>
      <c r="E415" s="33"/>
      <c r="F415" s="157"/>
      <c r="G415" s="157"/>
      <c r="H415" s="14"/>
      <c r="I415" s="157"/>
      <c r="J415" s="157"/>
      <c r="K415" s="14"/>
      <c r="L415" s="14"/>
    </row>
    <row r="416" spans="1:12" x14ac:dyDescent="0.2">
      <c r="A416" s="14"/>
      <c r="B416" s="33"/>
      <c r="C416" s="157"/>
      <c r="D416" s="157"/>
      <c r="E416" s="33"/>
      <c r="F416" s="157"/>
      <c r="G416" s="157"/>
      <c r="H416" s="14"/>
      <c r="I416" s="157"/>
      <c r="J416" s="157"/>
      <c r="K416" s="14"/>
      <c r="L416" s="14"/>
    </row>
    <row r="417" spans="1:12" x14ac:dyDescent="0.2">
      <c r="A417" s="14"/>
      <c r="B417" s="33"/>
      <c r="C417" s="157"/>
      <c r="D417" s="157"/>
      <c r="E417" s="33"/>
      <c r="F417" s="157"/>
      <c r="G417" s="157"/>
      <c r="H417" s="14"/>
      <c r="I417" s="157"/>
      <c r="J417" s="157"/>
      <c r="K417" s="14"/>
      <c r="L417" s="14"/>
    </row>
    <row r="418" spans="1:12" x14ac:dyDescent="0.2">
      <c r="A418" s="14"/>
      <c r="B418" s="33"/>
      <c r="C418" s="157"/>
      <c r="D418" s="157"/>
      <c r="E418" s="33"/>
      <c r="F418" s="157"/>
      <c r="G418" s="157"/>
      <c r="H418" s="14"/>
      <c r="I418" s="157"/>
      <c r="J418" s="157"/>
      <c r="K418" s="14"/>
      <c r="L418" s="14"/>
    </row>
    <row r="419" spans="1:12" x14ac:dyDescent="0.2">
      <c r="A419" s="14"/>
      <c r="B419" s="33"/>
      <c r="C419" s="157"/>
      <c r="D419" s="157"/>
      <c r="E419" s="33"/>
      <c r="F419" s="157"/>
      <c r="G419" s="157"/>
      <c r="H419" s="14"/>
      <c r="I419" s="157"/>
      <c r="J419" s="157"/>
      <c r="K419" s="14"/>
      <c r="L419" s="14"/>
    </row>
    <row r="420" spans="1:12" x14ac:dyDescent="0.2">
      <c r="A420" s="14"/>
      <c r="B420" s="33"/>
      <c r="C420" s="157"/>
      <c r="D420" s="157"/>
      <c r="E420" s="33"/>
      <c r="F420" s="157"/>
      <c r="G420" s="157"/>
      <c r="H420" s="14"/>
      <c r="I420" s="157"/>
      <c r="J420" s="157"/>
      <c r="K420" s="14"/>
      <c r="L420" s="14"/>
    </row>
    <row r="421" spans="1:12" x14ac:dyDescent="0.2">
      <c r="A421" s="14"/>
      <c r="B421" s="33"/>
      <c r="C421" s="157"/>
      <c r="D421" s="157"/>
      <c r="E421" s="33"/>
      <c r="F421" s="157"/>
      <c r="G421" s="157"/>
      <c r="H421" s="14"/>
      <c r="I421" s="157"/>
      <c r="J421" s="157"/>
      <c r="K421" s="14"/>
      <c r="L421" s="14"/>
    </row>
    <row r="422" spans="1:12" x14ac:dyDescent="0.2">
      <c r="A422" s="14"/>
      <c r="B422" s="33"/>
      <c r="C422" s="157"/>
      <c r="D422" s="157"/>
      <c r="E422" s="33"/>
      <c r="F422" s="157"/>
      <c r="G422" s="157"/>
      <c r="H422" s="14"/>
      <c r="I422" s="157"/>
      <c r="J422" s="157"/>
      <c r="K422" s="14"/>
      <c r="L422" s="14"/>
    </row>
    <row r="423" spans="1:12" x14ac:dyDescent="0.2">
      <c r="A423" s="14"/>
      <c r="B423" s="33"/>
      <c r="C423" s="157"/>
      <c r="D423" s="157"/>
      <c r="E423" s="33"/>
      <c r="F423" s="157"/>
      <c r="G423" s="157"/>
      <c r="H423" s="14"/>
      <c r="I423" s="157"/>
      <c r="J423" s="157"/>
      <c r="K423" s="14"/>
      <c r="L423" s="14"/>
    </row>
    <row r="424" spans="1:12" x14ac:dyDescent="0.2">
      <c r="A424" s="14"/>
      <c r="B424" s="33"/>
      <c r="C424" s="157"/>
      <c r="D424" s="157"/>
      <c r="E424" s="33"/>
      <c r="F424" s="157"/>
      <c r="G424" s="157"/>
      <c r="H424" s="14"/>
      <c r="I424" s="157"/>
      <c r="J424" s="157"/>
      <c r="K424" s="14"/>
      <c r="L424" s="14"/>
    </row>
    <row r="425" spans="1:12" x14ac:dyDescent="0.2">
      <c r="A425" s="14"/>
      <c r="B425" s="33"/>
      <c r="C425" s="157"/>
      <c r="D425" s="157"/>
      <c r="E425" s="33"/>
      <c r="F425" s="157"/>
      <c r="G425" s="157"/>
      <c r="H425" s="14"/>
      <c r="I425" s="157"/>
      <c r="J425" s="157"/>
      <c r="K425" s="14"/>
      <c r="L425" s="14"/>
    </row>
    <row r="426" spans="1:12" x14ac:dyDescent="0.2">
      <c r="A426" s="14"/>
      <c r="B426" s="33"/>
      <c r="C426" s="157"/>
      <c r="D426" s="157"/>
      <c r="E426" s="33"/>
      <c r="F426" s="157"/>
      <c r="G426" s="157"/>
      <c r="H426" s="14"/>
      <c r="I426" s="157"/>
      <c r="J426" s="157"/>
      <c r="K426" s="14"/>
      <c r="L426" s="14"/>
    </row>
    <row r="427" spans="1:12" x14ac:dyDescent="0.2">
      <c r="A427" s="14"/>
      <c r="B427" s="33"/>
      <c r="C427" s="157"/>
      <c r="D427" s="157"/>
      <c r="E427" s="33"/>
      <c r="F427" s="157"/>
      <c r="G427" s="157"/>
      <c r="H427" s="14"/>
      <c r="I427" s="157"/>
      <c r="J427" s="157"/>
      <c r="K427" s="14"/>
      <c r="L427" s="14"/>
    </row>
    <row r="428" spans="1:12" x14ac:dyDescent="0.2">
      <c r="A428" s="14"/>
      <c r="B428" s="33"/>
      <c r="C428" s="157"/>
      <c r="D428" s="157"/>
      <c r="E428" s="33"/>
      <c r="F428" s="157"/>
      <c r="G428" s="157"/>
      <c r="H428" s="14"/>
      <c r="I428" s="157"/>
      <c r="J428" s="157"/>
      <c r="K428" s="14"/>
      <c r="L428" s="14"/>
    </row>
    <row r="429" spans="1:12" x14ac:dyDescent="0.2">
      <c r="A429" s="14"/>
      <c r="B429" s="33"/>
      <c r="C429" s="157"/>
      <c r="D429" s="157"/>
      <c r="E429" s="33"/>
      <c r="F429" s="157"/>
      <c r="G429" s="157"/>
      <c r="H429" s="14"/>
      <c r="I429" s="157"/>
      <c r="J429" s="157"/>
      <c r="K429" s="14"/>
      <c r="L429" s="14"/>
    </row>
    <row r="430" spans="1:12" x14ac:dyDescent="0.2">
      <c r="A430" s="14"/>
      <c r="B430" s="33"/>
      <c r="C430" s="157"/>
      <c r="D430" s="157"/>
      <c r="E430" s="33"/>
      <c r="F430" s="157"/>
      <c r="G430" s="157"/>
      <c r="H430" s="14"/>
      <c r="I430" s="157"/>
      <c r="J430" s="157"/>
      <c r="K430" s="14"/>
      <c r="L430" s="14"/>
    </row>
    <row r="431" spans="1:12" x14ac:dyDescent="0.2">
      <c r="A431" s="14"/>
      <c r="B431" s="33"/>
      <c r="C431" s="157"/>
      <c r="D431" s="157"/>
      <c r="E431" s="33"/>
      <c r="F431" s="157"/>
      <c r="G431" s="157"/>
      <c r="H431" s="14"/>
      <c r="I431" s="157"/>
      <c r="J431" s="157"/>
      <c r="K431" s="14"/>
      <c r="L431" s="14"/>
    </row>
    <row r="432" spans="1:12" x14ac:dyDescent="0.2">
      <c r="A432" s="14"/>
      <c r="B432" s="33"/>
      <c r="C432" s="157"/>
      <c r="D432" s="157"/>
      <c r="E432" s="33"/>
      <c r="F432" s="157"/>
      <c r="G432" s="157"/>
      <c r="H432" s="14"/>
      <c r="I432" s="157"/>
      <c r="J432" s="157"/>
      <c r="K432" s="14"/>
      <c r="L432" s="14"/>
    </row>
    <row r="433" spans="1:12" x14ac:dyDescent="0.2">
      <c r="A433" s="14"/>
      <c r="B433" s="33"/>
      <c r="C433" s="157"/>
      <c r="D433" s="157"/>
      <c r="E433" s="33"/>
      <c r="F433" s="157"/>
      <c r="G433" s="157"/>
      <c r="H433" s="14"/>
      <c r="I433" s="157"/>
      <c r="J433" s="157"/>
      <c r="K433" s="14"/>
      <c r="L433" s="14"/>
    </row>
    <row r="434" spans="1:12" x14ac:dyDescent="0.2">
      <c r="A434" s="14"/>
      <c r="B434" s="33"/>
      <c r="C434" s="157"/>
      <c r="D434" s="157"/>
      <c r="E434" s="33"/>
      <c r="F434" s="157"/>
      <c r="G434" s="157"/>
      <c r="H434" s="14"/>
      <c r="I434" s="157"/>
      <c r="J434" s="157"/>
      <c r="K434" s="14"/>
      <c r="L434" s="14"/>
    </row>
    <row r="435" spans="1:12" x14ac:dyDescent="0.2">
      <c r="A435" s="14"/>
      <c r="B435" s="33"/>
      <c r="C435" s="157"/>
      <c r="D435" s="157"/>
      <c r="E435" s="33"/>
      <c r="F435" s="157"/>
      <c r="G435" s="157"/>
      <c r="H435" s="14"/>
      <c r="I435" s="157"/>
      <c r="J435" s="157"/>
      <c r="K435" s="14"/>
      <c r="L435" s="14"/>
    </row>
    <row r="436" spans="1:12" x14ac:dyDescent="0.2">
      <c r="A436" s="14"/>
      <c r="B436" s="33"/>
      <c r="C436" s="157"/>
      <c r="D436" s="157"/>
      <c r="E436" s="33"/>
      <c r="F436" s="157"/>
      <c r="G436" s="157"/>
      <c r="H436" s="14"/>
      <c r="I436" s="157"/>
      <c r="J436" s="157"/>
      <c r="K436" s="14"/>
      <c r="L436" s="14"/>
    </row>
    <row r="437" spans="1:12" x14ac:dyDescent="0.2">
      <c r="A437" s="14"/>
      <c r="B437" s="33"/>
      <c r="C437" s="157"/>
      <c r="D437" s="157"/>
      <c r="E437" s="33"/>
      <c r="F437" s="157"/>
      <c r="G437" s="157"/>
      <c r="H437" s="14"/>
      <c r="I437" s="157"/>
      <c r="J437" s="157"/>
      <c r="K437" s="14"/>
      <c r="L437" s="14"/>
    </row>
    <row r="438" spans="1:12" x14ac:dyDescent="0.2">
      <c r="A438" s="14"/>
      <c r="B438" s="33"/>
      <c r="C438" s="157"/>
      <c r="D438" s="157"/>
      <c r="E438" s="33"/>
      <c r="F438" s="157"/>
      <c r="G438" s="157"/>
      <c r="H438" s="14"/>
      <c r="I438" s="157"/>
      <c r="J438" s="157"/>
      <c r="K438" s="14"/>
      <c r="L438" s="14"/>
    </row>
    <row r="439" spans="1:12" x14ac:dyDescent="0.2">
      <c r="A439" s="14"/>
      <c r="B439" s="33"/>
      <c r="C439" s="157"/>
      <c r="D439" s="157"/>
      <c r="E439" s="33"/>
      <c r="F439" s="157"/>
      <c r="G439" s="157"/>
      <c r="H439" s="14"/>
      <c r="I439" s="157"/>
      <c r="J439" s="157"/>
      <c r="K439" s="14"/>
      <c r="L439" s="14"/>
    </row>
    <row r="440" spans="1:12" x14ac:dyDescent="0.2">
      <c r="A440" s="14"/>
      <c r="B440" s="33"/>
      <c r="C440" s="157"/>
      <c r="D440" s="157"/>
      <c r="E440" s="33"/>
      <c r="F440" s="157"/>
      <c r="G440" s="157"/>
      <c r="H440" s="14"/>
      <c r="I440" s="157"/>
      <c r="J440" s="157"/>
      <c r="K440" s="14"/>
      <c r="L440" s="14"/>
    </row>
    <row r="441" spans="1:12" x14ac:dyDescent="0.2">
      <c r="A441" s="14"/>
      <c r="B441" s="33"/>
      <c r="C441" s="157"/>
      <c r="D441" s="157"/>
      <c r="E441" s="33"/>
      <c r="F441" s="157"/>
      <c r="G441" s="157"/>
      <c r="H441" s="14"/>
      <c r="I441" s="157"/>
      <c r="J441" s="157"/>
      <c r="K441" s="14"/>
      <c r="L441" s="14"/>
    </row>
    <row r="442" spans="1:12" x14ac:dyDescent="0.2">
      <c r="A442" s="14"/>
      <c r="B442" s="33"/>
      <c r="C442" s="157"/>
      <c r="D442" s="157"/>
      <c r="E442" s="33"/>
      <c r="F442" s="157"/>
      <c r="G442" s="157"/>
      <c r="H442" s="14"/>
      <c r="I442" s="157"/>
      <c r="J442" s="157"/>
      <c r="K442" s="14"/>
      <c r="L442" s="14"/>
    </row>
    <row r="443" spans="1:12" x14ac:dyDescent="0.2">
      <c r="A443" s="14"/>
      <c r="B443" s="33"/>
      <c r="C443" s="157"/>
      <c r="D443" s="157"/>
      <c r="E443" s="33"/>
      <c r="F443" s="157"/>
      <c r="G443" s="157"/>
      <c r="H443" s="14"/>
      <c r="I443" s="157"/>
      <c r="J443" s="157"/>
      <c r="K443" s="14"/>
      <c r="L443" s="14"/>
    </row>
    <row r="444" spans="1:12" x14ac:dyDescent="0.2">
      <c r="A444" s="14"/>
      <c r="B444" s="33"/>
      <c r="C444" s="157"/>
      <c r="D444" s="157"/>
      <c r="E444" s="33"/>
      <c r="F444" s="157"/>
      <c r="G444" s="157"/>
      <c r="H444" s="14"/>
      <c r="I444" s="157"/>
      <c r="J444" s="157"/>
      <c r="K444" s="14"/>
      <c r="L444" s="14"/>
    </row>
    <row r="445" spans="1:12" x14ac:dyDescent="0.2">
      <c r="A445" s="14"/>
      <c r="B445" s="33"/>
      <c r="C445" s="157"/>
      <c r="D445" s="157"/>
      <c r="E445" s="33"/>
      <c r="F445" s="157"/>
      <c r="G445" s="157"/>
      <c r="H445" s="14"/>
      <c r="I445" s="157"/>
      <c r="J445" s="157"/>
      <c r="K445" s="14"/>
      <c r="L445" s="14"/>
    </row>
    <row r="446" spans="1:12" x14ac:dyDescent="0.2">
      <c r="A446" s="14"/>
      <c r="B446" s="33"/>
      <c r="C446" s="157"/>
      <c r="D446" s="157"/>
      <c r="E446" s="33"/>
      <c r="F446" s="157"/>
      <c r="G446" s="157"/>
      <c r="H446" s="14"/>
      <c r="I446" s="157"/>
      <c r="J446" s="157"/>
      <c r="K446" s="14"/>
      <c r="L446" s="14"/>
    </row>
    <row r="447" spans="1:12" x14ac:dyDescent="0.2">
      <c r="A447" s="14"/>
      <c r="B447" s="33"/>
      <c r="C447" s="157"/>
      <c r="D447" s="157"/>
      <c r="E447" s="33"/>
      <c r="F447" s="157"/>
      <c r="G447" s="157"/>
      <c r="H447" s="14"/>
      <c r="I447" s="157"/>
      <c r="J447" s="157"/>
      <c r="K447" s="14"/>
      <c r="L447" s="14"/>
    </row>
    <row r="448" spans="1:12" x14ac:dyDescent="0.2">
      <c r="A448" s="14"/>
      <c r="B448" s="33"/>
      <c r="C448" s="157"/>
      <c r="D448" s="157"/>
      <c r="E448" s="33"/>
      <c r="F448" s="157"/>
      <c r="G448" s="157"/>
      <c r="H448" s="14"/>
      <c r="I448" s="157"/>
      <c r="J448" s="157"/>
      <c r="K448" s="14"/>
      <c r="L448" s="14"/>
    </row>
    <row r="449" spans="1:12" x14ac:dyDescent="0.2">
      <c r="A449" s="14"/>
      <c r="B449" s="33"/>
      <c r="C449" s="157"/>
      <c r="D449" s="157"/>
      <c r="E449" s="33"/>
      <c r="F449" s="157"/>
      <c r="G449" s="157"/>
      <c r="H449" s="14"/>
      <c r="I449" s="157"/>
      <c r="J449" s="157"/>
      <c r="K449" s="14"/>
      <c r="L449" s="14"/>
    </row>
    <row r="450" spans="1:12" x14ac:dyDescent="0.2">
      <c r="A450" s="14"/>
      <c r="B450" s="33"/>
      <c r="C450" s="157"/>
      <c r="D450" s="157"/>
      <c r="E450" s="33"/>
      <c r="F450" s="157"/>
      <c r="G450" s="157"/>
      <c r="H450" s="14"/>
      <c r="I450" s="157"/>
      <c r="J450" s="157"/>
      <c r="K450" s="14"/>
      <c r="L450" s="14"/>
    </row>
    <row r="451" spans="1:12" x14ac:dyDescent="0.2">
      <c r="A451" s="14"/>
      <c r="B451" s="33"/>
      <c r="C451" s="157"/>
      <c r="D451" s="157"/>
      <c r="E451" s="33"/>
      <c r="F451" s="157"/>
      <c r="G451" s="157"/>
      <c r="H451" s="14"/>
      <c r="I451" s="157"/>
      <c r="J451" s="157"/>
      <c r="K451" s="14"/>
      <c r="L451" s="14"/>
    </row>
    <row r="452" spans="1:12" x14ac:dyDescent="0.2">
      <c r="A452" s="14"/>
      <c r="B452" s="33"/>
      <c r="C452" s="157"/>
      <c r="D452" s="157"/>
      <c r="E452" s="33"/>
      <c r="F452" s="157"/>
      <c r="G452" s="157"/>
      <c r="H452" s="14"/>
      <c r="I452" s="157"/>
      <c r="J452" s="157"/>
      <c r="K452" s="14"/>
      <c r="L452" s="14"/>
    </row>
    <row r="453" spans="1:12" x14ac:dyDescent="0.2">
      <c r="A453" s="14"/>
      <c r="B453" s="33"/>
      <c r="C453" s="157"/>
      <c r="D453" s="157"/>
      <c r="E453" s="33"/>
      <c r="F453" s="157"/>
      <c r="G453" s="157"/>
      <c r="H453" s="14"/>
      <c r="I453" s="157"/>
      <c r="J453" s="157"/>
      <c r="K453" s="14"/>
      <c r="L453" s="14"/>
    </row>
    <row r="454" spans="1:12" x14ac:dyDescent="0.2">
      <c r="A454" s="14"/>
      <c r="B454" s="33"/>
      <c r="C454" s="157"/>
      <c r="D454" s="157"/>
      <c r="E454" s="33"/>
      <c r="F454" s="157"/>
      <c r="G454" s="157"/>
      <c r="H454" s="14"/>
      <c r="I454" s="157"/>
      <c r="J454" s="157"/>
      <c r="K454" s="14"/>
      <c r="L454" s="14"/>
    </row>
    <row r="455" spans="1:12" x14ac:dyDescent="0.2">
      <c r="A455" s="14"/>
      <c r="B455" s="33"/>
      <c r="C455" s="157"/>
      <c r="D455" s="157"/>
      <c r="E455" s="33"/>
      <c r="F455" s="157"/>
      <c r="G455" s="157"/>
      <c r="H455" s="14"/>
      <c r="I455" s="157"/>
      <c r="J455" s="157"/>
      <c r="K455" s="14"/>
      <c r="L455" s="14"/>
    </row>
    <row r="456" spans="1:12" x14ac:dyDescent="0.2">
      <c r="A456" s="14"/>
      <c r="B456" s="33"/>
      <c r="C456" s="157"/>
      <c r="D456" s="157"/>
      <c r="E456" s="33"/>
      <c r="F456" s="157"/>
      <c r="G456" s="157"/>
      <c r="H456" s="14"/>
      <c r="I456" s="157"/>
      <c r="J456" s="157"/>
      <c r="K456" s="14"/>
      <c r="L456" s="14"/>
    </row>
    <row r="457" spans="1:12" x14ac:dyDescent="0.2">
      <c r="A457" s="14"/>
      <c r="B457" s="33"/>
      <c r="C457" s="157"/>
      <c r="D457" s="157"/>
      <c r="E457" s="33"/>
      <c r="F457" s="157"/>
      <c r="G457" s="157"/>
      <c r="H457" s="14"/>
      <c r="I457" s="157"/>
      <c r="J457" s="157"/>
      <c r="K457" s="14"/>
      <c r="L457" s="14"/>
    </row>
    <row r="458" spans="1:12" x14ac:dyDescent="0.2">
      <c r="A458" s="14"/>
      <c r="B458" s="33"/>
      <c r="C458" s="157"/>
      <c r="D458" s="157"/>
      <c r="E458" s="33"/>
      <c r="F458" s="157"/>
      <c r="G458" s="157"/>
      <c r="H458" s="14"/>
      <c r="I458" s="157"/>
      <c r="J458" s="157"/>
      <c r="K458" s="14"/>
      <c r="L458" s="14"/>
    </row>
    <row r="459" spans="1:12" x14ac:dyDescent="0.2">
      <c r="A459" s="14"/>
      <c r="B459" s="33"/>
      <c r="C459" s="157"/>
      <c r="D459" s="157"/>
      <c r="E459" s="33"/>
      <c r="F459" s="157"/>
      <c r="G459" s="157"/>
      <c r="H459" s="14"/>
      <c r="I459" s="157"/>
      <c r="J459" s="157"/>
      <c r="K459" s="14"/>
      <c r="L459" s="14"/>
    </row>
    <row r="460" spans="1:12" x14ac:dyDescent="0.2">
      <c r="A460" s="14"/>
      <c r="B460" s="33"/>
      <c r="C460" s="157"/>
      <c r="D460" s="157"/>
      <c r="E460" s="33"/>
      <c r="F460" s="157"/>
      <c r="G460" s="157"/>
      <c r="H460" s="14"/>
      <c r="I460" s="157"/>
      <c r="J460" s="157"/>
      <c r="K460" s="14"/>
      <c r="L460" s="14"/>
    </row>
    <row r="461" spans="1:12" x14ac:dyDescent="0.2">
      <c r="A461" s="14"/>
      <c r="B461" s="33"/>
      <c r="C461" s="157"/>
      <c r="D461" s="157"/>
      <c r="E461" s="33"/>
      <c r="F461" s="157"/>
      <c r="G461" s="157"/>
      <c r="H461" s="14"/>
      <c r="I461" s="157"/>
      <c r="J461" s="157"/>
      <c r="K461" s="14"/>
      <c r="L461" s="14"/>
    </row>
    <row r="462" spans="1:12" x14ac:dyDescent="0.2">
      <c r="A462" s="14"/>
      <c r="B462" s="33"/>
      <c r="C462" s="157"/>
      <c r="D462" s="157"/>
      <c r="E462" s="33"/>
      <c r="F462" s="157"/>
      <c r="G462" s="157"/>
      <c r="H462" s="14"/>
      <c r="I462" s="157"/>
      <c r="J462" s="157"/>
      <c r="K462" s="14"/>
      <c r="L462" s="14"/>
    </row>
    <row r="463" spans="1:12" x14ac:dyDescent="0.2">
      <c r="A463" s="14"/>
      <c r="B463" s="33"/>
      <c r="C463" s="157"/>
      <c r="D463" s="157"/>
      <c r="E463" s="33"/>
      <c r="F463" s="157"/>
      <c r="G463" s="157"/>
      <c r="H463" s="14"/>
      <c r="I463" s="157"/>
      <c r="J463" s="157"/>
      <c r="K463" s="14"/>
      <c r="L463" s="14"/>
    </row>
    <row r="464" spans="1:12" x14ac:dyDescent="0.2">
      <c r="A464" s="14"/>
      <c r="B464" s="33"/>
      <c r="C464" s="157"/>
      <c r="D464" s="157"/>
      <c r="E464" s="33"/>
      <c r="F464" s="157"/>
      <c r="G464" s="157"/>
      <c r="H464" s="14"/>
      <c r="I464" s="157"/>
      <c r="J464" s="157"/>
      <c r="K464" s="14"/>
      <c r="L464" s="14"/>
    </row>
    <row r="465" spans="1:12" x14ac:dyDescent="0.2">
      <c r="A465" s="14"/>
      <c r="B465" s="33"/>
      <c r="C465" s="157"/>
      <c r="D465" s="157"/>
      <c r="E465" s="33"/>
      <c r="F465" s="157"/>
      <c r="G465" s="157"/>
      <c r="H465" s="14"/>
      <c r="I465" s="157"/>
      <c r="J465" s="157"/>
      <c r="K465" s="14"/>
      <c r="L465" s="14"/>
    </row>
    <row r="466" spans="1:12" x14ac:dyDescent="0.2">
      <c r="A466" s="14"/>
      <c r="B466" s="33"/>
      <c r="C466" s="157"/>
      <c r="D466" s="157"/>
      <c r="E466" s="33"/>
      <c r="F466" s="157"/>
      <c r="G466" s="157"/>
      <c r="H466" s="14"/>
      <c r="I466" s="157"/>
      <c r="J466" s="157"/>
      <c r="K466" s="14"/>
      <c r="L466" s="14"/>
    </row>
    <row r="467" spans="1:12" x14ac:dyDescent="0.2">
      <c r="A467" s="14"/>
      <c r="B467" s="33"/>
      <c r="C467" s="157"/>
      <c r="D467" s="157"/>
      <c r="E467" s="33"/>
      <c r="F467" s="157"/>
      <c r="G467" s="157"/>
      <c r="H467" s="14"/>
      <c r="I467" s="157"/>
      <c r="J467" s="157"/>
      <c r="K467" s="14"/>
      <c r="L467" s="14"/>
    </row>
    <row r="468" spans="1:12" x14ac:dyDescent="0.2">
      <c r="A468" s="14"/>
      <c r="B468" s="33"/>
      <c r="C468" s="157"/>
      <c r="D468" s="157"/>
      <c r="E468" s="33"/>
      <c r="F468" s="157"/>
      <c r="G468" s="157"/>
      <c r="H468" s="14"/>
      <c r="I468" s="157"/>
      <c r="J468" s="157"/>
      <c r="K468" s="14"/>
      <c r="L468" s="14"/>
    </row>
    <row r="469" spans="1:12" x14ac:dyDescent="0.2">
      <c r="A469" s="14"/>
      <c r="B469" s="33"/>
      <c r="C469" s="157"/>
      <c r="D469" s="157"/>
      <c r="E469" s="33"/>
      <c r="F469" s="157"/>
      <c r="G469" s="157"/>
      <c r="H469" s="14"/>
      <c r="I469" s="157"/>
      <c r="J469" s="157"/>
      <c r="K469" s="14"/>
      <c r="L469" s="14"/>
    </row>
    <row r="470" spans="1:12" x14ac:dyDescent="0.2">
      <c r="A470" s="14"/>
      <c r="B470" s="33"/>
      <c r="C470" s="157"/>
      <c r="D470" s="157"/>
      <c r="E470" s="33"/>
      <c r="F470" s="157"/>
      <c r="G470" s="157"/>
      <c r="H470" s="14"/>
      <c r="I470" s="157"/>
      <c r="J470" s="157"/>
      <c r="K470" s="14"/>
      <c r="L470" s="14"/>
    </row>
    <row r="471" spans="1:12" x14ac:dyDescent="0.2">
      <c r="A471" s="14"/>
      <c r="B471" s="33"/>
      <c r="C471" s="157"/>
      <c r="D471" s="157"/>
      <c r="E471" s="33"/>
      <c r="F471" s="157"/>
      <c r="G471" s="157"/>
      <c r="H471" s="14"/>
      <c r="I471" s="157"/>
      <c r="J471" s="157"/>
      <c r="K471" s="14"/>
      <c r="L471" s="14"/>
    </row>
    <row r="472" spans="1:12" x14ac:dyDescent="0.2">
      <c r="A472" s="14"/>
      <c r="B472" s="33"/>
      <c r="C472" s="157"/>
      <c r="D472" s="157"/>
      <c r="E472" s="33"/>
      <c r="F472" s="157"/>
      <c r="G472" s="157"/>
      <c r="H472" s="14"/>
      <c r="I472" s="157"/>
      <c r="J472" s="157"/>
      <c r="K472" s="14"/>
      <c r="L472" s="14"/>
    </row>
    <row r="473" spans="1:12" x14ac:dyDescent="0.2">
      <c r="A473" s="14"/>
      <c r="B473" s="33"/>
      <c r="C473" s="157"/>
      <c r="D473" s="157"/>
      <c r="E473" s="33"/>
      <c r="F473" s="157"/>
      <c r="G473" s="157"/>
      <c r="H473" s="14"/>
      <c r="I473" s="157"/>
      <c r="J473" s="157"/>
      <c r="K473" s="14"/>
      <c r="L473" s="14"/>
    </row>
    <row r="474" spans="1:12" x14ac:dyDescent="0.2">
      <c r="A474" s="14"/>
      <c r="B474" s="33"/>
      <c r="C474" s="157"/>
      <c r="D474" s="157"/>
      <c r="E474" s="33"/>
      <c r="F474" s="157"/>
      <c r="G474" s="157"/>
      <c r="H474" s="14"/>
      <c r="I474" s="157"/>
      <c r="J474" s="157"/>
      <c r="K474" s="14"/>
      <c r="L474" s="14"/>
    </row>
    <row r="475" spans="1:12" x14ac:dyDescent="0.2">
      <c r="A475" s="14"/>
      <c r="B475" s="33"/>
      <c r="C475" s="157"/>
      <c r="D475" s="157"/>
      <c r="E475" s="33"/>
      <c r="F475" s="157"/>
      <c r="G475" s="157"/>
      <c r="H475" s="14"/>
      <c r="I475" s="157"/>
      <c r="J475" s="157"/>
      <c r="K475" s="14"/>
      <c r="L475" s="14"/>
    </row>
    <row r="476" spans="1:12" x14ac:dyDescent="0.2">
      <c r="A476" s="14"/>
      <c r="B476" s="33"/>
      <c r="C476" s="157"/>
      <c r="D476" s="157"/>
      <c r="E476" s="33"/>
      <c r="F476" s="157"/>
      <c r="G476" s="157"/>
      <c r="H476" s="14"/>
      <c r="I476" s="157"/>
      <c r="J476" s="157"/>
      <c r="K476" s="14"/>
      <c r="L476" s="14"/>
    </row>
    <row r="477" spans="1:12" x14ac:dyDescent="0.2">
      <c r="A477" s="14"/>
      <c r="B477" s="33"/>
      <c r="C477" s="157"/>
      <c r="D477" s="157"/>
      <c r="E477" s="33"/>
      <c r="F477" s="157"/>
      <c r="G477" s="157"/>
      <c r="H477" s="14"/>
      <c r="I477" s="157"/>
      <c r="J477" s="157"/>
      <c r="K477" s="14"/>
      <c r="L477" s="14"/>
    </row>
    <row r="478" spans="1:12" x14ac:dyDescent="0.2">
      <c r="A478" s="14"/>
      <c r="B478" s="33"/>
      <c r="C478" s="157"/>
      <c r="D478" s="157"/>
      <c r="E478" s="33"/>
      <c r="F478" s="157"/>
      <c r="G478" s="157"/>
      <c r="H478" s="14"/>
      <c r="I478" s="157"/>
      <c r="J478" s="157"/>
      <c r="K478" s="14"/>
      <c r="L478" s="14"/>
    </row>
    <row r="479" spans="1:12" x14ac:dyDescent="0.2">
      <c r="A479" s="14"/>
      <c r="B479" s="33"/>
      <c r="C479" s="157"/>
      <c r="D479" s="157"/>
      <c r="E479" s="33"/>
      <c r="F479" s="157"/>
      <c r="G479" s="157"/>
      <c r="H479" s="14"/>
      <c r="I479" s="157"/>
      <c r="J479" s="157"/>
      <c r="K479" s="14"/>
      <c r="L479" s="14"/>
    </row>
    <row r="480" spans="1:12" x14ac:dyDescent="0.2">
      <c r="A480" s="14"/>
      <c r="B480" s="33"/>
      <c r="C480" s="157"/>
      <c r="D480" s="157"/>
      <c r="E480" s="33"/>
      <c r="F480" s="157"/>
      <c r="G480" s="157"/>
      <c r="H480" s="14"/>
      <c r="I480" s="157"/>
      <c r="J480" s="157"/>
      <c r="K480" s="14"/>
      <c r="L480" s="14"/>
    </row>
    <row r="481" spans="1:12" x14ac:dyDescent="0.2">
      <c r="A481" s="14"/>
      <c r="B481" s="33"/>
      <c r="C481" s="157"/>
      <c r="D481" s="157"/>
      <c r="E481" s="33"/>
      <c r="F481" s="157"/>
      <c r="G481" s="157"/>
      <c r="H481" s="14"/>
      <c r="I481" s="157"/>
      <c r="J481" s="157"/>
      <c r="K481" s="14"/>
      <c r="L481" s="14"/>
    </row>
    <row r="482" spans="1:12" x14ac:dyDescent="0.2">
      <c r="A482" s="14"/>
      <c r="B482" s="33"/>
      <c r="C482" s="157"/>
      <c r="D482" s="157"/>
      <c r="E482" s="33"/>
      <c r="F482" s="157"/>
      <c r="G482" s="157"/>
      <c r="H482" s="14"/>
      <c r="I482" s="157"/>
      <c r="J482" s="157"/>
      <c r="K482" s="14"/>
      <c r="L482" s="14"/>
    </row>
    <row r="483" spans="1:12" x14ac:dyDescent="0.2">
      <c r="A483" s="14"/>
      <c r="B483" s="33"/>
      <c r="C483" s="157"/>
      <c r="D483" s="157"/>
      <c r="E483" s="33"/>
      <c r="F483" s="157"/>
      <c r="G483" s="157"/>
      <c r="H483" s="14"/>
      <c r="I483" s="157"/>
      <c r="J483" s="157"/>
      <c r="K483" s="14"/>
      <c r="L483" s="14"/>
    </row>
    <row r="484" spans="1:12" x14ac:dyDescent="0.2">
      <c r="A484" s="14"/>
      <c r="B484" s="33"/>
      <c r="C484" s="157"/>
      <c r="D484" s="157"/>
      <c r="E484" s="33"/>
      <c r="F484" s="157"/>
      <c r="G484" s="157"/>
      <c r="H484" s="14"/>
      <c r="I484" s="157"/>
      <c r="J484" s="157"/>
      <c r="K484" s="14"/>
      <c r="L484" s="14"/>
    </row>
    <row r="485" spans="1:12" x14ac:dyDescent="0.2">
      <c r="A485" s="14"/>
      <c r="B485" s="33"/>
      <c r="C485" s="157"/>
      <c r="D485" s="157"/>
      <c r="E485" s="33"/>
      <c r="F485" s="157"/>
      <c r="G485" s="157"/>
      <c r="H485" s="14"/>
      <c r="I485" s="157"/>
      <c r="J485" s="157"/>
      <c r="K485" s="14"/>
      <c r="L485" s="14"/>
    </row>
    <row r="486" spans="1:12" x14ac:dyDescent="0.2">
      <c r="A486" s="14"/>
      <c r="B486" s="33"/>
      <c r="C486" s="157"/>
      <c r="D486" s="157"/>
      <c r="E486" s="33"/>
      <c r="F486" s="157"/>
      <c r="G486" s="157"/>
      <c r="H486" s="14"/>
      <c r="I486" s="157"/>
      <c r="J486" s="157"/>
      <c r="K486" s="14"/>
      <c r="L486" s="14"/>
    </row>
    <row r="487" spans="1:12" x14ac:dyDescent="0.2">
      <c r="A487" s="14"/>
      <c r="B487" s="33"/>
      <c r="C487" s="157"/>
      <c r="D487" s="157"/>
      <c r="E487" s="33"/>
      <c r="F487" s="157"/>
      <c r="G487" s="157"/>
      <c r="H487" s="14"/>
      <c r="I487" s="157"/>
      <c r="J487" s="157"/>
      <c r="K487" s="14"/>
      <c r="L487" s="14"/>
    </row>
    <row r="488" spans="1:12" x14ac:dyDescent="0.2">
      <c r="A488" s="14"/>
      <c r="B488" s="33"/>
      <c r="C488" s="157"/>
      <c r="D488" s="157"/>
      <c r="E488" s="33"/>
      <c r="F488" s="157"/>
      <c r="G488" s="157"/>
      <c r="H488" s="14"/>
      <c r="I488" s="157"/>
      <c r="J488" s="157"/>
      <c r="K488" s="14"/>
      <c r="L488" s="14"/>
    </row>
    <row r="489" spans="1:12" x14ac:dyDescent="0.2">
      <c r="A489" s="14"/>
      <c r="B489" s="33"/>
      <c r="C489" s="157"/>
      <c r="D489" s="157"/>
      <c r="E489" s="33"/>
      <c r="F489" s="157"/>
      <c r="G489" s="157"/>
      <c r="H489" s="14"/>
      <c r="I489" s="157"/>
      <c r="J489" s="157"/>
      <c r="K489" s="14"/>
      <c r="L489" s="14"/>
    </row>
    <row r="490" spans="1:12" x14ac:dyDescent="0.2">
      <c r="A490" s="14"/>
      <c r="B490" s="33"/>
      <c r="C490" s="157"/>
      <c r="D490" s="157"/>
      <c r="E490" s="33"/>
      <c r="F490" s="157"/>
      <c r="G490" s="157"/>
      <c r="H490" s="14"/>
      <c r="I490" s="157"/>
      <c r="J490" s="157"/>
      <c r="K490" s="14"/>
      <c r="L490" s="14"/>
    </row>
    <row r="491" spans="1:12" x14ac:dyDescent="0.2">
      <c r="A491" s="14"/>
      <c r="B491" s="33"/>
      <c r="C491" s="157"/>
      <c r="D491" s="157"/>
      <c r="E491" s="33"/>
      <c r="F491" s="157"/>
      <c r="G491" s="157"/>
      <c r="H491" s="14"/>
      <c r="I491" s="157"/>
      <c r="J491" s="157"/>
      <c r="K491" s="14"/>
      <c r="L491" s="14"/>
    </row>
    <row r="492" spans="1:12" x14ac:dyDescent="0.2">
      <c r="A492" s="14"/>
      <c r="B492" s="33"/>
      <c r="C492" s="157"/>
      <c r="D492" s="157"/>
      <c r="E492" s="33"/>
      <c r="F492" s="157"/>
      <c r="G492" s="157"/>
      <c r="H492" s="14"/>
      <c r="I492" s="157"/>
      <c r="J492" s="157"/>
      <c r="K492" s="14"/>
      <c r="L492" s="14"/>
    </row>
    <row r="493" spans="1:12" x14ac:dyDescent="0.2">
      <c r="A493" s="14"/>
      <c r="B493" s="33"/>
      <c r="C493" s="157"/>
      <c r="D493" s="157"/>
      <c r="E493" s="33"/>
      <c r="F493" s="157"/>
      <c r="G493" s="157"/>
      <c r="H493" s="14"/>
      <c r="I493" s="157"/>
      <c r="J493" s="157"/>
      <c r="K493" s="14"/>
      <c r="L493" s="14"/>
    </row>
    <row r="494" spans="1:12" x14ac:dyDescent="0.2">
      <c r="A494" s="14"/>
      <c r="B494" s="33"/>
      <c r="C494" s="157"/>
      <c r="D494" s="157"/>
      <c r="E494" s="33"/>
      <c r="F494" s="157"/>
      <c r="G494" s="157"/>
      <c r="H494" s="14"/>
      <c r="I494" s="157"/>
      <c r="J494" s="157"/>
      <c r="K494" s="14"/>
      <c r="L494" s="14"/>
    </row>
    <row r="495" spans="1:12" x14ac:dyDescent="0.2">
      <c r="A495" s="14"/>
      <c r="B495" s="33"/>
      <c r="C495" s="157"/>
      <c r="D495" s="157"/>
      <c r="E495" s="33"/>
      <c r="F495" s="157"/>
      <c r="G495" s="157"/>
      <c r="H495" s="14"/>
      <c r="I495" s="157"/>
      <c r="J495" s="157"/>
      <c r="K495" s="14"/>
      <c r="L495" s="14"/>
    </row>
    <row r="496" spans="1:12" x14ac:dyDescent="0.2">
      <c r="A496" s="14"/>
      <c r="B496" s="33"/>
      <c r="C496" s="157"/>
      <c r="D496" s="157"/>
      <c r="E496" s="33"/>
      <c r="F496" s="157"/>
      <c r="G496" s="157"/>
      <c r="H496" s="14"/>
      <c r="I496" s="157"/>
      <c r="J496" s="157"/>
      <c r="K496" s="14"/>
      <c r="L496" s="14"/>
    </row>
    <row r="497" spans="1:12" x14ac:dyDescent="0.2">
      <c r="A497" s="14"/>
      <c r="B497" s="33"/>
      <c r="C497" s="157"/>
      <c r="D497" s="157"/>
      <c r="E497" s="33"/>
      <c r="F497" s="157"/>
      <c r="G497" s="157"/>
      <c r="H497" s="14"/>
      <c r="I497" s="157"/>
      <c r="J497" s="157"/>
      <c r="K497" s="14"/>
      <c r="L497" s="14"/>
    </row>
    <row r="498" spans="1:12" x14ac:dyDescent="0.2">
      <c r="A498" s="14"/>
      <c r="B498" s="33"/>
      <c r="C498" s="157"/>
      <c r="D498" s="157"/>
      <c r="E498" s="33"/>
      <c r="F498" s="157"/>
      <c r="G498" s="157"/>
      <c r="H498" s="14"/>
      <c r="I498" s="157"/>
      <c r="J498" s="157"/>
      <c r="K498" s="14"/>
      <c r="L498" s="14"/>
    </row>
    <row r="499" spans="1:12" x14ac:dyDescent="0.2">
      <c r="A499" s="14"/>
      <c r="B499" s="33"/>
      <c r="C499" s="157"/>
      <c r="D499" s="157"/>
      <c r="E499" s="33"/>
      <c r="F499" s="157"/>
      <c r="G499" s="157"/>
      <c r="H499" s="14"/>
      <c r="I499" s="157"/>
      <c r="J499" s="157"/>
      <c r="K499" s="14"/>
      <c r="L499" s="14"/>
    </row>
    <row r="500" spans="1:12" x14ac:dyDescent="0.2">
      <c r="A500" s="14"/>
      <c r="B500" s="33"/>
      <c r="C500" s="157"/>
      <c r="D500" s="157"/>
      <c r="E500" s="33"/>
      <c r="F500" s="157"/>
      <c r="G500" s="157"/>
      <c r="H500" s="14"/>
      <c r="I500" s="157"/>
      <c r="J500" s="157"/>
      <c r="K500" s="14"/>
      <c r="L500" s="14"/>
    </row>
    <row r="501" spans="1:12" x14ac:dyDescent="0.2">
      <c r="A501" s="14"/>
      <c r="B501" s="33"/>
      <c r="C501" s="157"/>
      <c r="D501" s="157"/>
      <c r="E501" s="33"/>
      <c r="F501" s="157"/>
      <c r="G501" s="157"/>
      <c r="H501" s="14"/>
      <c r="I501" s="157"/>
      <c r="J501" s="157"/>
      <c r="K501" s="14"/>
      <c r="L501" s="14"/>
    </row>
    <row r="502" spans="1:12" x14ac:dyDescent="0.2">
      <c r="A502" s="14"/>
      <c r="B502" s="33"/>
      <c r="C502" s="157"/>
      <c r="D502" s="157"/>
      <c r="E502" s="33"/>
      <c r="F502" s="157"/>
      <c r="G502" s="157"/>
      <c r="H502" s="14"/>
      <c r="I502" s="157"/>
      <c r="J502" s="157"/>
      <c r="K502" s="14"/>
      <c r="L502" s="14"/>
    </row>
    <row r="503" spans="1:12" x14ac:dyDescent="0.2">
      <c r="A503" s="14"/>
      <c r="B503" s="33"/>
      <c r="C503" s="157"/>
      <c r="D503" s="157"/>
      <c r="E503" s="33"/>
      <c r="F503" s="157"/>
      <c r="G503" s="157"/>
      <c r="H503" s="14"/>
      <c r="I503" s="157"/>
      <c r="J503" s="157"/>
      <c r="K503" s="14"/>
      <c r="L503" s="14"/>
    </row>
    <row r="504" spans="1:12" x14ac:dyDescent="0.2">
      <c r="A504" s="14"/>
      <c r="B504" s="33"/>
      <c r="C504" s="157"/>
      <c r="D504" s="157"/>
      <c r="E504" s="33"/>
      <c r="F504" s="157"/>
      <c r="G504" s="157"/>
      <c r="H504" s="14"/>
      <c r="I504" s="157"/>
      <c r="J504" s="157"/>
      <c r="K504" s="14"/>
      <c r="L504" s="14"/>
    </row>
    <row r="505" spans="1:12" x14ac:dyDescent="0.2">
      <c r="A505" s="14"/>
      <c r="B505" s="33"/>
      <c r="C505" s="157"/>
      <c r="D505" s="157"/>
      <c r="E505" s="33"/>
      <c r="F505" s="157"/>
      <c r="G505" s="157"/>
      <c r="H505" s="14"/>
      <c r="I505" s="157"/>
      <c r="J505" s="157"/>
      <c r="K505" s="14"/>
      <c r="L505" s="14"/>
    </row>
    <row r="506" spans="1:12" x14ac:dyDescent="0.2">
      <c r="A506" s="14"/>
      <c r="B506" s="33"/>
      <c r="C506" s="157"/>
      <c r="D506" s="157"/>
      <c r="E506" s="33"/>
      <c r="F506" s="157"/>
      <c r="G506" s="157"/>
      <c r="H506" s="14"/>
      <c r="I506" s="157"/>
      <c r="J506" s="157"/>
      <c r="K506" s="14"/>
      <c r="L506" s="14"/>
    </row>
    <row r="507" spans="1:12" x14ac:dyDescent="0.2">
      <c r="A507" s="14"/>
      <c r="B507" s="33"/>
      <c r="C507" s="157"/>
      <c r="D507" s="157"/>
      <c r="E507" s="33"/>
      <c r="F507" s="157"/>
      <c r="G507" s="157"/>
      <c r="H507" s="14"/>
      <c r="I507" s="157"/>
      <c r="J507" s="157"/>
      <c r="K507" s="14"/>
      <c r="L507" s="14"/>
    </row>
    <row r="508" spans="1:12" x14ac:dyDescent="0.2">
      <c r="A508" s="14"/>
      <c r="B508" s="33"/>
      <c r="C508" s="157"/>
      <c r="D508" s="157"/>
      <c r="E508" s="33"/>
      <c r="F508" s="157"/>
      <c r="G508" s="157"/>
      <c r="H508" s="14"/>
      <c r="I508" s="157"/>
      <c r="J508" s="157"/>
      <c r="K508" s="14"/>
      <c r="L508" s="14"/>
    </row>
    <row r="509" spans="1:12" x14ac:dyDescent="0.2">
      <c r="A509" s="14"/>
      <c r="B509" s="33"/>
      <c r="C509" s="157"/>
      <c r="D509" s="157"/>
      <c r="E509" s="33"/>
      <c r="F509" s="157"/>
      <c r="G509" s="157"/>
      <c r="H509" s="14"/>
      <c r="I509" s="157"/>
      <c r="J509" s="157"/>
      <c r="K509" s="14"/>
      <c r="L509" s="14"/>
    </row>
    <row r="510" spans="1:12" x14ac:dyDescent="0.2">
      <c r="A510" s="14"/>
      <c r="B510" s="33"/>
      <c r="C510" s="157"/>
      <c r="D510" s="157"/>
      <c r="E510" s="33"/>
      <c r="F510" s="157"/>
      <c r="G510" s="157"/>
      <c r="H510" s="14"/>
      <c r="I510" s="157"/>
      <c r="J510" s="157"/>
      <c r="K510" s="14"/>
      <c r="L510" s="14"/>
    </row>
    <row r="511" spans="1:12" x14ac:dyDescent="0.2">
      <c r="A511" s="14"/>
      <c r="B511" s="33"/>
      <c r="C511" s="157"/>
      <c r="D511" s="157"/>
      <c r="E511" s="33"/>
      <c r="F511" s="157"/>
      <c r="G511" s="157"/>
      <c r="H511" s="14"/>
      <c r="I511" s="157"/>
      <c r="J511" s="157"/>
      <c r="K511" s="14"/>
      <c r="L511" s="14"/>
    </row>
    <row r="512" spans="1:12" x14ac:dyDescent="0.2">
      <c r="A512" s="14"/>
      <c r="B512" s="33"/>
      <c r="C512" s="157"/>
      <c r="D512" s="157"/>
      <c r="E512" s="33"/>
      <c r="F512" s="157"/>
      <c r="G512" s="157"/>
      <c r="H512" s="14"/>
      <c r="I512" s="157"/>
      <c r="J512" s="157"/>
      <c r="K512" s="14"/>
      <c r="L512" s="14"/>
    </row>
    <row r="513" spans="1:12" x14ac:dyDescent="0.2">
      <c r="A513" s="14"/>
      <c r="B513" s="33"/>
      <c r="C513" s="157"/>
      <c r="D513" s="157"/>
      <c r="E513" s="33"/>
      <c r="F513" s="157"/>
      <c r="G513" s="157"/>
      <c r="H513" s="14"/>
      <c r="I513" s="157"/>
      <c r="J513" s="157"/>
      <c r="K513" s="14"/>
      <c r="L513" s="14"/>
    </row>
    <row r="514" spans="1:12" x14ac:dyDescent="0.2">
      <c r="A514" s="14"/>
      <c r="B514" s="33"/>
      <c r="C514" s="157"/>
      <c r="D514" s="157"/>
      <c r="E514" s="33"/>
      <c r="F514" s="157"/>
      <c r="G514" s="157"/>
      <c r="H514" s="14"/>
      <c r="I514" s="157"/>
      <c r="J514" s="157"/>
      <c r="K514" s="14"/>
      <c r="L514" s="14"/>
    </row>
    <row r="515" spans="1:12" x14ac:dyDescent="0.2">
      <c r="A515" s="14"/>
      <c r="B515" s="33"/>
      <c r="C515" s="157"/>
      <c r="D515" s="157"/>
      <c r="E515" s="33"/>
      <c r="F515" s="157"/>
      <c r="G515" s="157"/>
      <c r="H515" s="14"/>
      <c r="I515" s="157"/>
      <c r="J515" s="157"/>
      <c r="K515" s="14"/>
      <c r="L515" s="14"/>
    </row>
    <row r="516" spans="1:12" x14ac:dyDescent="0.2">
      <c r="A516" s="14"/>
      <c r="B516" s="33"/>
      <c r="C516" s="157"/>
      <c r="D516" s="157"/>
      <c r="E516" s="33"/>
      <c r="F516" s="157"/>
      <c r="G516" s="157"/>
      <c r="H516" s="14"/>
      <c r="I516" s="157"/>
      <c r="J516" s="157"/>
      <c r="K516" s="14"/>
      <c r="L516" s="14"/>
    </row>
    <row r="517" spans="1:12" x14ac:dyDescent="0.2">
      <c r="A517" s="14"/>
      <c r="B517" s="33"/>
      <c r="C517" s="157"/>
      <c r="D517" s="157"/>
      <c r="E517" s="33"/>
      <c r="F517" s="157"/>
      <c r="G517" s="157"/>
      <c r="H517" s="14"/>
      <c r="I517" s="157"/>
      <c r="J517" s="157"/>
      <c r="K517" s="14"/>
      <c r="L517" s="14"/>
    </row>
    <row r="518" spans="1:12" x14ac:dyDescent="0.2">
      <c r="A518" s="14"/>
      <c r="B518" s="33"/>
      <c r="C518" s="157"/>
      <c r="D518" s="157"/>
      <c r="E518" s="33"/>
      <c r="F518" s="157"/>
      <c r="G518" s="157"/>
      <c r="H518" s="14"/>
      <c r="I518" s="157"/>
      <c r="J518" s="157"/>
      <c r="K518" s="14"/>
      <c r="L518" s="14"/>
    </row>
    <row r="519" spans="1:12" x14ac:dyDescent="0.2">
      <c r="A519" s="14"/>
      <c r="B519" s="33"/>
      <c r="C519" s="157"/>
      <c r="D519" s="157"/>
      <c r="E519" s="33"/>
      <c r="F519" s="157"/>
      <c r="G519" s="157"/>
      <c r="H519" s="14"/>
      <c r="I519" s="157"/>
      <c r="J519" s="157"/>
      <c r="K519" s="14"/>
      <c r="L519" s="14"/>
    </row>
    <row r="520" spans="1:12" x14ac:dyDescent="0.2">
      <c r="A520" s="14"/>
      <c r="B520" s="33"/>
      <c r="C520" s="157"/>
      <c r="D520" s="157"/>
      <c r="E520" s="33"/>
      <c r="F520" s="157"/>
      <c r="G520" s="157"/>
      <c r="H520" s="14"/>
      <c r="I520" s="157"/>
      <c r="J520" s="157"/>
      <c r="K520" s="14"/>
      <c r="L520" s="14"/>
    </row>
    <row r="521" spans="1:12" x14ac:dyDescent="0.2">
      <c r="A521" s="14"/>
      <c r="B521" s="33"/>
      <c r="C521" s="157"/>
      <c r="D521" s="157"/>
      <c r="E521" s="33"/>
      <c r="F521" s="157"/>
      <c r="G521" s="157"/>
      <c r="H521" s="14"/>
      <c r="I521" s="157"/>
      <c r="J521" s="157"/>
      <c r="K521" s="14"/>
      <c r="L521" s="14"/>
    </row>
    <row r="522" spans="1:12" x14ac:dyDescent="0.2">
      <c r="A522" s="14"/>
      <c r="B522" s="33"/>
      <c r="C522" s="157"/>
      <c r="D522" s="157"/>
      <c r="E522" s="33"/>
      <c r="F522" s="157"/>
      <c r="G522" s="157"/>
      <c r="H522" s="14"/>
      <c r="I522" s="157"/>
      <c r="J522" s="157"/>
      <c r="K522" s="14"/>
      <c r="L522" s="14"/>
    </row>
    <row r="523" spans="1:12" x14ac:dyDescent="0.2">
      <c r="A523" s="14"/>
      <c r="B523" s="33"/>
      <c r="C523" s="157"/>
      <c r="D523" s="157"/>
      <c r="E523" s="33"/>
      <c r="F523" s="157"/>
      <c r="G523" s="157"/>
      <c r="H523" s="14"/>
      <c r="I523" s="157"/>
      <c r="J523" s="157"/>
      <c r="K523" s="14"/>
      <c r="L523" s="14"/>
    </row>
    <row r="524" spans="1:12" x14ac:dyDescent="0.2">
      <c r="A524" s="14"/>
      <c r="B524" s="33"/>
      <c r="C524" s="157"/>
      <c r="D524" s="157"/>
      <c r="E524" s="33"/>
      <c r="F524" s="157"/>
      <c r="G524" s="157"/>
      <c r="H524" s="14"/>
      <c r="I524" s="157"/>
      <c r="J524" s="157"/>
      <c r="K524" s="14"/>
      <c r="L524" s="14"/>
    </row>
    <row r="525" spans="1:12" x14ac:dyDescent="0.2">
      <c r="A525" s="14"/>
      <c r="B525" s="33"/>
      <c r="C525" s="157"/>
      <c r="D525" s="157"/>
      <c r="E525" s="33"/>
      <c r="F525" s="157"/>
      <c r="G525" s="157"/>
      <c r="H525" s="14"/>
      <c r="I525" s="157"/>
      <c r="J525" s="157"/>
      <c r="K525" s="14"/>
      <c r="L525" s="14"/>
    </row>
    <row r="526" spans="1:12" x14ac:dyDescent="0.2">
      <c r="A526" s="14"/>
      <c r="B526" s="33"/>
      <c r="C526" s="157"/>
      <c r="D526" s="157"/>
      <c r="E526" s="33"/>
      <c r="F526" s="157"/>
      <c r="G526" s="157"/>
      <c r="H526" s="14"/>
      <c r="I526" s="157"/>
      <c r="J526" s="157"/>
      <c r="K526" s="14"/>
      <c r="L526" s="14"/>
    </row>
    <row r="527" spans="1:12" x14ac:dyDescent="0.2">
      <c r="A527" s="14"/>
      <c r="B527" s="33"/>
      <c r="C527" s="157"/>
      <c r="D527" s="157"/>
      <c r="E527" s="33"/>
      <c r="F527" s="157"/>
      <c r="G527" s="157"/>
      <c r="H527" s="14"/>
      <c r="I527" s="157"/>
      <c r="J527" s="157"/>
      <c r="K527" s="14"/>
      <c r="L527" s="14"/>
    </row>
    <row r="528" spans="1:12" x14ac:dyDescent="0.2">
      <c r="A528" s="14"/>
      <c r="B528" s="33"/>
      <c r="C528" s="157"/>
      <c r="D528" s="157"/>
      <c r="E528" s="33"/>
      <c r="F528" s="157"/>
      <c r="G528" s="157"/>
      <c r="H528" s="14"/>
      <c r="I528" s="157"/>
      <c r="J528" s="157"/>
      <c r="K528" s="14"/>
      <c r="L528" s="14"/>
    </row>
    <row r="529" spans="1:12" x14ac:dyDescent="0.2">
      <c r="A529" s="14"/>
      <c r="B529" s="33"/>
      <c r="C529" s="157"/>
      <c r="D529" s="157"/>
      <c r="E529" s="33"/>
      <c r="F529" s="157"/>
      <c r="G529" s="157"/>
      <c r="H529" s="14"/>
      <c r="I529" s="157"/>
      <c r="J529" s="157"/>
      <c r="K529" s="14"/>
      <c r="L529" s="14"/>
    </row>
    <row r="530" spans="1:12" x14ac:dyDescent="0.2">
      <c r="A530" s="14"/>
      <c r="B530" s="33"/>
      <c r="C530" s="157"/>
      <c r="D530" s="157"/>
      <c r="E530" s="33"/>
      <c r="F530" s="157"/>
      <c r="G530" s="157"/>
      <c r="H530" s="14"/>
      <c r="I530" s="157"/>
      <c r="J530" s="157"/>
      <c r="K530" s="14"/>
      <c r="L530" s="14"/>
    </row>
    <row r="531" spans="1:12" x14ac:dyDescent="0.2">
      <c r="A531" s="14"/>
      <c r="B531" s="33"/>
      <c r="C531" s="157"/>
      <c r="D531" s="157"/>
      <c r="E531" s="33"/>
      <c r="F531" s="157"/>
      <c r="G531" s="157"/>
      <c r="H531" s="14"/>
      <c r="I531" s="157"/>
      <c r="J531" s="157"/>
      <c r="K531" s="14"/>
      <c r="L531" s="14"/>
    </row>
    <row r="532" spans="1:12" x14ac:dyDescent="0.2">
      <c r="A532" s="14"/>
      <c r="B532" s="33"/>
      <c r="C532" s="157"/>
      <c r="D532" s="157"/>
      <c r="E532" s="33"/>
      <c r="F532" s="157"/>
      <c r="G532" s="157"/>
      <c r="H532" s="14"/>
      <c r="I532" s="157"/>
      <c r="J532" s="157"/>
      <c r="K532" s="14"/>
      <c r="L532" s="14"/>
    </row>
    <row r="533" spans="1:12" x14ac:dyDescent="0.2">
      <c r="A533" s="14"/>
      <c r="B533" s="33"/>
      <c r="C533" s="157"/>
      <c r="D533" s="157"/>
      <c r="E533" s="33"/>
      <c r="F533" s="157"/>
      <c r="G533" s="157"/>
      <c r="H533" s="14"/>
      <c r="I533" s="157"/>
      <c r="J533" s="157"/>
      <c r="K533" s="14"/>
      <c r="L533" s="14"/>
    </row>
    <row r="534" spans="1:12" x14ac:dyDescent="0.2">
      <c r="A534" s="14"/>
      <c r="B534" s="33"/>
      <c r="C534" s="157"/>
      <c r="D534" s="157"/>
      <c r="E534" s="33"/>
      <c r="F534" s="157"/>
      <c r="G534" s="157"/>
      <c r="H534" s="14"/>
      <c r="I534" s="157"/>
      <c r="J534" s="157"/>
      <c r="K534" s="14"/>
      <c r="L534" s="14"/>
    </row>
    <row r="535" spans="1:12" x14ac:dyDescent="0.2">
      <c r="A535" s="14"/>
      <c r="B535" s="33"/>
      <c r="C535" s="157"/>
      <c r="D535" s="157"/>
      <c r="E535" s="33"/>
      <c r="F535" s="157"/>
      <c r="G535" s="157"/>
      <c r="H535" s="14"/>
      <c r="I535" s="157"/>
      <c r="J535" s="157"/>
      <c r="K535" s="14"/>
      <c r="L535" s="14"/>
    </row>
    <row r="536" spans="1:12" x14ac:dyDescent="0.2">
      <c r="A536" s="14"/>
      <c r="B536" s="33"/>
      <c r="C536" s="157"/>
      <c r="D536" s="157"/>
      <c r="E536" s="33"/>
      <c r="F536" s="157"/>
      <c r="G536" s="157"/>
      <c r="H536" s="14"/>
      <c r="I536" s="157"/>
      <c r="J536" s="157"/>
      <c r="K536" s="14"/>
      <c r="L536" s="14"/>
    </row>
    <row r="537" spans="1:12" x14ac:dyDescent="0.2">
      <c r="A537" s="14"/>
      <c r="B537" s="33"/>
      <c r="C537" s="157"/>
      <c r="D537" s="157"/>
      <c r="E537" s="33"/>
      <c r="F537" s="157"/>
      <c r="G537" s="157"/>
      <c r="H537" s="14"/>
      <c r="I537" s="157"/>
      <c r="J537" s="157"/>
      <c r="K537" s="14"/>
      <c r="L537" s="14"/>
    </row>
    <row r="538" spans="1:12" x14ac:dyDescent="0.2">
      <c r="A538" s="14"/>
      <c r="B538" s="33"/>
      <c r="C538" s="157"/>
      <c r="D538" s="157"/>
      <c r="E538" s="33"/>
      <c r="F538" s="157"/>
      <c r="G538" s="157"/>
      <c r="H538" s="14"/>
      <c r="I538" s="157"/>
      <c r="J538" s="157"/>
      <c r="K538" s="14"/>
      <c r="L538" s="14"/>
    </row>
    <row r="539" spans="1:12" x14ac:dyDescent="0.2">
      <c r="A539" s="14"/>
      <c r="B539" s="33"/>
      <c r="C539" s="157"/>
      <c r="D539" s="157"/>
      <c r="E539" s="33"/>
      <c r="F539" s="157"/>
      <c r="G539" s="157"/>
      <c r="H539" s="14"/>
      <c r="I539" s="157"/>
      <c r="J539" s="157"/>
      <c r="K539" s="14"/>
      <c r="L539" s="14"/>
    </row>
    <row r="540" spans="1:12" x14ac:dyDescent="0.2">
      <c r="A540" s="14"/>
      <c r="B540" s="33"/>
      <c r="C540" s="157"/>
      <c r="D540" s="157"/>
      <c r="E540" s="33"/>
      <c r="F540" s="157"/>
      <c r="G540" s="157"/>
      <c r="H540" s="14"/>
      <c r="I540" s="157"/>
      <c r="J540" s="157"/>
      <c r="K540" s="14"/>
      <c r="L540" s="14"/>
    </row>
    <row r="541" spans="1:12" x14ac:dyDescent="0.2">
      <c r="A541" s="14"/>
      <c r="B541" s="33"/>
      <c r="C541" s="157"/>
      <c r="D541" s="157"/>
      <c r="E541" s="33"/>
      <c r="F541" s="157"/>
      <c r="G541" s="157"/>
      <c r="H541" s="14"/>
      <c r="I541" s="157"/>
      <c r="J541" s="157"/>
      <c r="K541" s="14"/>
      <c r="L541" s="14"/>
    </row>
    <row r="542" spans="1:12" x14ac:dyDescent="0.2">
      <c r="A542" s="14"/>
      <c r="B542" s="33"/>
      <c r="C542" s="157"/>
      <c r="D542" s="157"/>
      <c r="E542" s="33"/>
      <c r="F542" s="157"/>
      <c r="G542" s="157"/>
      <c r="H542" s="14"/>
      <c r="I542" s="157"/>
      <c r="J542" s="157"/>
      <c r="K542" s="14"/>
      <c r="L542" s="14"/>
    </row>
    <row r="543" spans="1:12" x14ac:dyDescent="0.2">
      <c r="A543" s="14"/>
      <c r="B543" s="33"/>
      <c r="C543" s="157"/>
      <c r="D543" s="157"/>
      <c r="E543" s="33"/>
      <c r="F543" s="157"/>
      <c r="G543" s="157"/>
      <c r="H543" s="14"/>
      <c r="I543" s="157"/>
      <c r="J543" s="157"/>
      <c r="K543" s="14"/>
      <c r="L543" s="14"/>
    </row>
    <row r="544" spans="1:12" x14ac:dyDescent="0.2">
      <c r="A544" s="14"/>
      <c r="B544" s="33"/>
      <c r="C544" s="157"/>
      <c r="D544" s="157"/>
      <c r="E544" s="33"/>
      <c r="F544" s="157"/>
      <c r="G544" s="157"/>
      <c r="H544" s="14"/>
      <c r="I544" s="157"/>
      <c r="J544" s="157"/>
      <c r="K544" s="14"/>
      <c r="L544" s="14"/>
    </row>
    <row r="545" spans="1:12" x14ac:dyDescent="0.2">
      <c r="A545" s="14"/>
      <c r="B545" s="33"/>
      <c r="C545" s="157"/>
      <c r="D545" s="157"/>
      <c r="E545" s="33"/>
      <c r="F545" s="157"/>
      <c r="G545" s="157"/>
      <c r="H545" s="14"/>
      <c r="I545" s="157"/>
      <c r="J545" s="157"/>
      <c r="K545" s="14"/>
      <c r="L545" s="14"/>
    </row>
    <row r="546" spans="1:12" x14ac:dyDescent="0.2">
      <c r="A546" s="14"/>
      <c r="B546" s="33"/>
      <c r="C546" s="157"/>
      <c r="D546" s="157"/>
      <c r="E546" s="33"/>
      <c r="F546" s="157"/>
      <c r="G546" s="157"/>
      <c r="H546" s="14"/>
      <c r="I546" s="157"/>
      <c r="J546" s="157"/>
      <c r="K546" s="14"/>
      <c r="L546" s="14"/>
    </row>
    <row r="547" spans="1:12" x14ac:dyDescent="0.2">
      <c r="A547" s="14"/>
      <c r="B547" s="33"/>
      <c r="C547" s="157"/>
      <c r="D547" s="157"/>
      <c r="E547" s="33"/>
      <c r="F547" s="157"/>
      <c r="G547" s="157"/>
      <c r="H547" s="14"/>
      <c r="I547" s="157"/>
      <c r="J547" s="157"/>
      <c r="K547" s="14"/>
      <c r="L547" s="14"/>
    </row>
    <row r="548" spans="1:12" x14ac:dyDescent="0.2">
      <c r="A548" s="14"/>
      <c r="B548" s="33"/>
      <c r="C548" s="157"/>
      <c r="D548" s="157"/>
      <c r="E548" s="33"/>
      <c r="F548" s="157"/>
      <c r="G548" s="157"/>
      <c r="H548" s="14"/>
      <c r="I548" s="157"/>
      <c r="J548" s="157"/>
      <c r="K548" s="14"/>
      <c r="L548" s="14"/>
    </row>
    <row r="549" spans="1:12" x14ac:dyDescent="0.2">
      <c r="A549" s="14"/>
      <c r="B549" s="33"/>
      <c r="C549" s="157"/>
      <c r="D549" s="157"/>
      <c r="E549" s="33"/>
      <c r="F549" s="157"/>
      <c r="G549" s="157"/>
      <c r="H549" s="14"/>
      <c r="I549" s="157"/>
      <c r="J549" s="157"/>
      <c r="K549" s="14"/>
      <c r="L549" s="14"/>
    </row>
    <row r="550" spans="1:12" x14ac:dyDescent="0.2">
      <c r="A550" s="14"/>
      <c r="B550" s="33"/>
      <c r="C550" s="157"/>
      <c r="D550" s="157"/>
      <c r="E550" s="33"/>
      <c r="F550" s="157"/>
      <c r="G550" s="157"/>
      <c r="H550" s="14"/>
      <c r="I550" s="157"/>
      <c r="J550" s="157"/>
      <c r="K550" s="14"/>
      <c r="L550" s="14"/>
    </row>
    <row r="551" spans="1:12" x14ac:dyDescent="0.2">
      <c r="A551" s="14"/>
      <c r="B551" s="33"/>
      <c r="C551" s="157"/>
      <c r="D551" s="157"/>
      <c r="E551" s="33"/>
      <c r="F551" s="157"/>
      <c r="G551" s="157"/>
      <c r="H551" s="14"/>
      <c r="I551" s="157"/>
      <c r="J551" s="157"/>
      <c r="K551" s="14"/>
      <c r="L551" s="14"/>
    </row>
    <row r="552" spans="1:12" x14ac:dyDescent="0.2">
      <c r="A552" s="14"/>
      <c r="B552" s="33"/>
      <c r="C552" s="157"/>
      <c r="D552" s="157"/>
      <c r="E552" s="33"/>
      <c r="F552" s="157"/>
      <c r="G552" s="157"/>
      <c r="H552" s="14"/>
      <c r="I552" s="157"/>
      <c r="J552" s="157"/>
      <c r="K552" s="14"/>
      <c r="L552" s="14"/>
    </row>
    <row r="553" spans="1:12" x14ac:dyDescent="0.2">
      <c r="A553" s="14"/>
      <c r="B553" s="33"/>
      <c r="C553" s="157"/>
      <c r="D553" s="157"/>
      <c r="E553" s="33"/>
      <c r="F553" s="157"/>
      <c r="G553" s="157"/>
      <c r="H553" s="14"/>
      <c r="I553" s="157"/>
      <c r="J553" s="157"/>
      <c r="K553" s="14"/>
      <c r="L553" s="14"/>
    </row>
    <row r="554" spans="1:12" x14ac:dyDescent="0.2">
      <c r="A554" s="14"/>
      <c r="B554" s="33"/>
      <c r="C554" s="157"/>
      <c r="D554" s="157"/>
      <c r="E554" s="33"/>
      <c r="F554" s="157"/>
      <c r="G554" s="157"/>
      <c r="H554" s="14"/>
      <c r="I554" s="157"/>
      <c r="J554" s="157"/>
      <c r="K554" s="14"/>
      <c r="L554" s="14"/>
    </row>
    <row r="555" spans="1:12" x14ac:dyDescent="0.2">
      <c r="A555" s="14"/>
      <c r="B555" s="33"/>
      <c r="C555" s="157"/>
      <c r="D555" s="157"/>
      <c r="E555" s="33"/>
      <c r="F555" s="157"/>
      <c r="G555" s="157"/>
      <c r="H555" s="14"/>
      <c r="I555" s="157"/>
      <c r="J555" s="157"/>
      <c r="K555" s="14"/>
      <c r="L555" s="14"/>
    </row>
    <row r="556" spans="1:12" x14ac:dyDescent="0.2">
      <c r="A556" s="14"/>
      <c r="B556" s="33"/>
      <c r="C556" s="157"/>
      <c r="D556" s="157"/>
      <c r="E556" s="33"/>
      <c r="F556" s="157"/>
      <c r="G556" s="157"/>
      <c r="H556" s="14"/>
      <c r="I556" s="157"/>
      <c r="J556" s="157"/>
      <c r="K556" s="14"/>
      <c r="L556" s="14"/>
    </row>
    <row r="557" spans="1:12" x14ac:dyDescent="0.2">
      <c r="A557" s="14"/>
      <c r="B557" s="33"/>
      <c r="C557" s="157"/>
      <c r="D557" s="157"/>
      <c r="E557" s="33"/>
      <c r="F557" s="157"/>
      <c r="G557" s="157"/>
      <c r="H557" s="14"/>
      <c r="I557" s="157"/>
      <c r="J557" s="157"/>
      <c r="K557" s="14"/>
      <c r="L557" s="14"/>
    </row>
    <row r="558" spans="1:12" x14ac:dyDescent="0.2">
      <c r="A558" s="14"/>
      <c r="B558" s="33"/>
      <c r="C558" s="157"/>
      <c r="D558" s="157"/>
      <c r="E558" s="33"/>
      <c r="F558" s="157"/>
      <c r="G558" s="157"/>
      <c r="H558" s="14"/>
      <c r="I558" s="157"/>
      <c r="J558" s="157"/>
      <c r="K558" s="14"/>
      <c r="L558" s="14"/>
    </row>
    <row r="559" spans="1:12" x14ac:dyDescent="0.2">
      <c r="A559" s="14"/>
      <c r="B559" s="33"/>
      <c r="C559" s="157"/>
      <c r="D559" s="157"/>
      <c r="E559" s="33"/>
      <c r="F559" s="157"/>
      <c r="G559" s="157"/>
      <c r="H559" s="14"/>
      <c r="I559" s="157"/>
      <c r="J559" s="157"/>
      <c r="K559" s="14"/>
      <c r="L559" s="14"/>
    </row>
    <row r="560" spans="1:12" x14ac:dyDescent="0.2">
      <c r="A560" s="14"/>
      <c r="B560" s="33"/>
      <c r="C560" s="157"/>
      <c r="D560" s="157"/>
      <c r="E560" s="33"/>
      <c r="F560" s="157"/>
      <c r="G560" s="157"/>
      <c r="H560" s="14"/>
      <c r="I560" s="157"/>
      <c r="J560" s="157"/>
      <c r="K560" s="14"/>
      <c r="L560" s="14"/>
    </row>
    <row r="561" spans="1:12" x14ac:dyDescent="0.2">
      <c r="A561" s="14"/>
      <c r="B561" s="33"/>
      <c r="C561" s="157"/>
      <c r="D561" s="157"/>
      <c r="E561" s="33"/>
      <c r="F561" s="157"/>
      <c r="G561" s="157"/>
      <c r="H561" s="14"/>
      <c r="I561" s="157"/>
      <c r="J561" s="157"/>
      <c r="K561" s="14"/>
      <c r="L561" s="14"/>
    </row>
    <row r="562" spans="1:12" x14ac:dyDescent="0.2">
      <c r="A562" s="14"/>
      <c r="B562" s="33"/>
      <c r="C562" s="157"/>
      <c r="D562" s="157"/>
      <c r="E562" s="33"/>
      <c r="F562" s="157"/>
      <c r="G562" s="157"/>
      <c r="H562" s="14"/>
      <c r="I562" s="157"/>
      <c r="J562" s="157"/>
      <c r="K562" s="14"/>
      <c r="L562" s="14"/>
    </row>
    <row r="563" spans="1:12" x14ac:dyDescent="0.2">
      <c r="A563" s="14"/>
      <c r="B563" s="33"/>
      <c r="C563" s="157"/>
      <c r="D563" s="157"/>
      <c r="E563" s="33"/>
      <c r="F563" s="157"/>
      <c r="G563" s="157"/>
      <c r="H563" s="14"/>
      <c r="I563" s="157"/>
      <c r="J563" s="157"/>
      <c r="K563" s="14"/>
      <c r="L563" s="14"/>
    </row>
    <row r="564" spans="1:12" x14ac:dyDescent="0.2">
      <c r="A564" s="14"/>
      <c r="B564" s="33"/>
      <c r="C564" s="157"/>
      <c r="D564" s="157"/>
      <c r="E564" s="33"/>
      <c r="F564" s="157"/>
      <c r="G564" s="157"/>
      <c r="H564" s="14"/>
      <c r="I564" s="157"/>
      <c r="J564" s="157"/>
      <c r="K564" s="14"/>
      <c r="L564" s="14"/>
    </row>
    <row r="565" spans="1:12" x14ac:dyDescent="0.2">
      <c r="A565" s="14"/>
      <c r="B565" s="33"/>
      <c r="C565" s="157"/>
      <c r="D565" s="157"/>
      <c r="E565" s="33"/>
      <c r="F565" s="157"/>
      <c r="G565" s="157"/>
      <c r="H565" s="14"/>
      <c r="I565" s="157"/>
      <c r="J565" s="157"/>
      <c r="K565" s="14"/>
      <c r="L565" s="14"/>
    </row>
    <row r="566" spans="1:12" x14ac:dyDescent="0.2">
      <c r="A566" s="14"/>
      <c r="B566" s="33"/>
      <c r="C566" s="157"/>
      <c r="D566" s="157"/>
      <c r="E566" s="33"/>
      <c r="F566" s="157"/>
      <c r="G566" s="157"/>
      <c r="H566" s="14"/>
      <c r="I566" s="157"/>
      <c r="J566" s="157"/>
      <c r="K566" s="14"/>
      <c r="L566" s="14"/>
    </row>
    <row r="567" spans="1:12" x14ac:dyDescent="0.2">
      <c r="A567" s="14"/>
      <c r="B567" s="33"/>
      <c r="C567" s="157"/>
      <c r="D567" s="157"/>
      <c r="E567" s="33"/>
      <c r="F567" s="157"/>
      <c r="G567" s="157"/>
      <c r="H567" s="14"/>
      <c r="I567" s="157"/>
      <c r="J567" s="157"/>
      <c r="K567" s="14"/>
      <c r="L567" s="14"/>
    </row>
    <row r="568" spans="1:12" x14ac:dyDescent="0.2">
      <c r="A568" s="14"/>
      <c r="B568" s="33"/>
      <c r="C568" s="157"/>
      <c r="D568" s="157"/>
      <c r="E568" s="33"/>
      <c r="F568" s="157"/>
      <c r="G568" s="157"/>
      <c r="H568" s="14"/>
      <c r="I568" s="157"/>
      <c r="J568" s="157"/>
      <c r="K568" s="14"/>
      <c r="L568" s="14"/>
    </row>
    <row r="569" spans="1:12" x14ac:dyDescent="0.2">
      <c r="A569" s="14"/>
      <c r="B569" s="33"/>
      <c r="C569" s="157"/>
      <c r="D569" s="157"/>
      <c r="E569" s="33"/>
      <c r="F569" s="157"/>
      <c r="G569" s="157"/>
      <c r="H569" s="14"/>
      <c r="I569" s="157"/>
      <c r="J569" s="157"/>
      <c r="K569" s="14"/>
      <c r="L569" s="14"/>
    </row>
    <row r="570" spans="1:12" x14ac:dyDescent="0.2">
      <c r="A570" s="14"/>
      <c r="B570" s="33"/>
      <c r="C570" s="157"/>
      <c r="D570" s="157"/>
      <c r="E570" s="33"/>
      <c r="F570" s="157"/>
      <c r="G570" s="157"/>
      <c r="H570" s="14"/>
      <c r="I570" s="157"/>
      <c r="J570" s="157"/>
      <c r="K570" s="14"/>
      <c r="L570" s="14"/>
    </row>
    <row r="571" spans="1:12" x14ac:dyDescent="0.2">
      <c r="A571" s="14"/>
      <c r="B571" s="33"/>
      <c r="C571" s="157"/>
      <c r="D571" s="157"/>
      <c r="E571" s="33"/>
      <c r="F571" s="157"/>
      <c r="G571" s="157"/>
      <c r="H571" s="14"/>
      <c r="I571" s="157"/>
      <c r="J571" s="157"/>
      <c r="K571" s="14"/>
      <c r="L571" s="14"/>
    </row>
    <row r="572" spans="1:12" x14ac:dyDescent="0.2">
      <c r="A572" s="14"/>
      <c r="B572" s="33"/>
      <c r="C572" s="157"/>
      <c r="D572" s="157"/>
      <c r="E572" s="33"/>
      <c r="F572" s="157"/>
      <c r="G572" s="157"/>
      <c r="H572" s="14"/>
      <c r="I572" s="157"/>
      <c r="J572" s="157"/>
      <c r="K572" s="14"/>
      <c r="L572" s="14"/>
    </row>
    <row r="573" spans="1:12" x14ac:dyDescent="0.2">
      <c r="A573" s="14"/>
      <c r="B573" s="33"/>
      <c r="C573" s="157"/>
      <c r="D573" s="157"/>
      <c r="E573" s="33"/>
      <c r="F573" s="157"/>
      <c r="G573" s="157"/>
      <c r="H573" s="14"/>
      <c r="I573" s="157"/>
      <c r="J573" s="157"/>
      <c r="K573" s="14"/>
      <c r="L573" s="14"/>
    </row>
    <row r="574" spans="1:12" x14ac:dyDescent="0.2">
      <c r="A574" s="14"/>
      <c r="B574" s="33"/>
      <c r="C574" s="157"/>
      <c r="D574" s="157"/>
      <c r="E574" s="33"/>
      <c r="F574" s="157"/>
      <c r="G574" s="157"/>
      <c r="H574" s="14"/>
      <c r="I574" s="157"/>
      <c r="J574" s="157"/>
      <c r="K574" s="14"/>
      <c r="L574" s="14"/>
    </row>
    <row r="575" spans="1:12" x14ac:dyDescent="0.2">
      <c r="A575" s="14"/>
      <c r="B575" s="33"/>
      <c r="C575" s="157"/>
      <c r="D575" s="157"/>
      <c r="E575" s="33"/>
      <c r="F575" s="157"/>
      <c r="G575" s="157"/>
      <c r="H575" s="14"/>
      <c r="I575" s="157"/>
      <c r="J575" s="157"/>
      <c r="K575" s="14"/>
      <c r="L575" s="14"/>
    </row>
    <row r="576" spans="1:12" x14ac:dyDescent="0.2">
      <c r="A576" s="14"/>
      <c r="B576" s="33"/>
      <c r="C576" s="157"/>
      <c r="D576" s="157"/>
      <c r="E576" s="33"/>
      <c r="F576" s="157"/>
      <c r="G576" s="157"/>
      <c r="H576" s="14"/>
      <c r="I576" s="157"/>
      <c r="J576" s="157"/>
      <c r="K576" s="14"/>
      <c r="L576" s="14"/>
    </row>
    <row r="577" spans="1:12" x14ac:dyDescent="0.2">
      <c r="A577" s="14"/>
      <c r="B577" s="33"/>
      <c r="C577" s="157"/>
      <c r="D577" s="157"/>
      <c r="E577" s="33"/>
      <c r="F577" s="157"/>
      <c r="G577" s="157"/>
      <c r="H577" s="14"/>
      <c r="I577" s="157"/>
      <c r="J577" s="157"/>
      <c r="K577" s="14"/>
      <c r="L577" s="14"/>
    </row>
    <row r="578" spans="1:12" x14ac:dyDescent="0.2">
      <c r="A578" s="14"/>
      <c r="B578" s="33"/>
      <c r="C578" s="157"/>
      <c r="D578" s="157"/>
      <c r="E578" s="33"/>
      <c r="F578" s="157"/>
      <c r="G578" s="157"/>
      <c r="H578" s="14"/>
      <c r="I578" s="157"/>
      <c r="J578" s="157"/>
      <c r="K578" s="14"/>
      <c r="L578" s="14"/>
    </row>
    <row r="579" spans="1:12" x14ac:dyDescent="0.2">
      <c r="A579" s="14"/>
      <c r="B579" s="33"/>
      <c r="C579" s="157"/>
      <c r="D579" s="157"/>
      <c r="E579" s="33"/>
      <c r="F579" s="157"/>
      <c r="G579" s="157"/>
      <c r="H579" s="14"/>
      <c r="I579" s="157"/>
      <c r="J579" s="157"/>
      <c r="K579" s="14"/>
      <c r="L579" s="14"/>
    </row>
    <row r="580" spans="1:12" x14ac:dyDescent="0.2">
      <c r="A580" s="14"/>
      <c r="B580" s="33"/>
      <c r="C580" s="157"/>
      <c r="D580" s="157"/>
      <c r="E580" s="33"/>
      <c r="F580" s="157"/>
      <c r="G580" s="157"/>
      <c r="H580" s="14"/>
      <c r="I580" s="157"/>
      <c r="J580" s="157"/>
      <c r="K580" s="14"/>
      <c r="L580" s="14"/>
    </row>
    <row r="581" spans="1:12" x14ac:dyDescent="0.2">
      <c r="A581" s="14"/>
      <c r="B581" s="33"/>
      <c r="C581" s="157"/>
      <c r="D581" s="157"/>
      <c r="E581" s="33"/>
      <c r="F581" s="157"/>
      <c r="G581" s="157"/>
      <c r="H581" s="14"/>
      <c r="I581" s="157"/>
      <c r="J581" s="157"/>
      <c r="K581" s="14"/>
      <c r="L581" s="14"/>
    </row>
    <row r="582" spans="1:12" x14ac:dyDescent="0.2">
      <c r="A582" s="14"/>
      <c r="B582" s="33"/>
      <c r="C582" s="157"/>
      <c r="D582" s="157"/>
      <c r="E582" s="33"/>
      <c r="F582" s="157"/>
      <c r="G582" s="157"/>
      <c r="H582" s="14"/>
      <c r="I582" s="157"/>
      <c r="J582" s="157"/>
      <c r="K582" s="14"/>
      <c r="L582" s="14"/>
    </row>
    <row r="583" spans="1:12" x14ac:dyDescent="0.2">
      <c r="A583" s="14"/>
      <c r="B583" s="33"/>
      <c r="C583" s="157"/>
      <c r="D583" s="157"/>
      <c r="E583" s="33"/>
      <c r="F583" s="157"/>
      <c r="G583" s="157"/>
      <c r="H583" s="14"/>
      <c r="I583" s="157"/>
      <c r="J583" s="157"/>
      <c r="K583" s="14"/>
      <c r="L583" s="14"/>
    </row>
    <row r="584" spans="1:12" x14ac:dyDescent="0.2">
      <c r="A584" s="14"/>
      <c r="B584" s="33"/>
      <c r="C584" s="157"/>
      <c r="D584" s="157"/>
      <c r="E584" s="33"/>
      <c r="F584" s="157"/>
      <c r="G584" s="157"/>
      <c r="H584" s="14"/>
      <c r="I584" s="157"/>
      <c r="J584" s="157"/>
      <c r="K584" s="14"/>
      <c r="L584" s="14"/>
    </row>
    <row r="585" spans="1:12" x14ac:dyDescent="0.2">
      <c r="A585" s="14"/>
      <c r="B585" s="33"/>
      <c r="C585" s="157"/>
      <c r="D585" s="157"/>
      <c r="E585" s="33"/>
      <c r="F585" s="157"/>
      <c r="G585" s="157"/>
      <c r="H585" s="14"/>
      <c r="I585" s="157"/>
      <c r="J585" s="157"/>
      <c r="K585" s="14"/>
      <c r="L585" s="14"/>
    </row>
    <row r="586" spans="1:12" x14ac:dyDescent="0.2">
      <c r="A586" s="14"/>
      <c r="B586" s="33"/>
      <c r="C586" s="157"/>
      <c r="D586" s="157"/>
      <c r="E586" s="33"/>
      <c r="F586" s="157"/>
      <c r="G586" s="157"/>
      <c r="H586" s="14"/>
      <c r="I586" s="157"/>
      <c r="J586" s="157"/>
      <c r="K586" s="14"/>
      <c r="L586" s="14"/>
    </row>
    <row r="587" spans="1:12" x14ac:dyDescent="0.2">
      <c r="A587" s="14"/>
      <c r="B587" s="33"/>
      <c r="C587" s="157"/>
      <c r="D587" s="157"/>
      <c r="E587" s="33"/>
      <c r="F587" s="157"/>
      <c r="G587" s="157"/>
      <c r="H587" s="14"/>
      <c r="I587" s="157"/>
      <c r="J587" s="157"/>
      <c r="K587" s="14"/>
      <c r="L587" s="14"/>
    </row>
    <row r="588" spans="1:12" x14ac:dyDescent="0.2">
      <c r="A588" s="14"/>
      <c r="B588" s="33"/>
      <c r="C588" s="157"/>
      <c r="D588" s="157"/>
      <c r="E588" s="33"/>
      <c r="F588" s="157"/>
      <c r="G588" s="157"/>
      <c r="H588" s="14"/>
      <c r="I588" s="157"/>
      <c r="J588" s="157"/>
      <c r="K588" s="14"/>
      <c r="L588" s="14"/>
    </row>
    <row r="589" spans="1:12" x14ac:dyDescent="0.2">
      <c r="A589" s="14"/>
      <c r="B589" s="33"/>
      <c r="C589" s="157"/>
      <c r="D589" s="157"/>
      <c r="E589" s="33"/>
      <c r="F589" s="157"/>
      <c r="G589" s="157"/>
      <c r="H589" s="14"/>
      <c r="I589" s="157"/>
      <c r="J589" s="157"/>
      <c r="K589" s="14"/>
      <c r="L589" s="14"/>
    </row>
    <row r="590" spans="1:12" x14ac:dyDescent="0.2">
      <c r="A590" s="14"/>
      <c r="B590" s="33"/>
      <c r="C590" s="157"/>
      <c r="D590" s="157"/>
      <c r="E590" s="33"/>
      <c r="F590" s="157"/>
      <c r="G590" s="157"/>
      <c r="H590" s="14"/>
      <c r="I590" s="157"/>
      <c r="J590" s="157"/>
      <c r="K590" s="14"/>
      <c r="L590" s="14"/>
    </row>
  </sheetData>
  <mergeCells count="24">
    <mergeCell ref="C54:E54"/>
    <mergeCell ref="F54:H54"/>
    <mergeCell ref="F9:H9"/>
    <mergeCell ref="I54:K54"/>
    <mergeCell ref="C40:E40"/>
    <mergeCell ref="F40:H40"/>
    <mergeCell ref="T56:V56"/>
    <mergeCell ref="W56:Y56"/>
    <mergeCell ref="Z56:AB56"/>
    <mergeCell ref="I9:K9"/>
    <mergeCell ref="T4:V4"/>
    <mergeCell ref="W4:Y4"/>
    <mergeCell ref="Z4:AB4"/>
    <mergeCell ref="I40:K40"/>
    <mergeCell ref="C6:E6"/>
    <mergeCell ref="F6:H6"/>
    <mergeCell ref="I6:K6"/>
    <mergeCell ref="C9:E9"/>
    <mergeCell ref="Z30:AB30"/>
    <mergeCell ref="W30:Y30"/>
    <mergeCell ref="T30:V30"/>
    <mergeCell ref="I27:K27"/>
    <mergeCell ref="F27:H27"/>
    <mergeCell ref="C27:E27"/>
  </mergeCells>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L159"/>
  <sheetViews>
    <sheetView topLeftCell="R1" zoomScaleNormal="100" workbookViewId="0">
      <selection activeCell="AH39" sqref="AH39"/>
    </sheetView>
  </sheetViews>
  <sheetFormatPr defaultColWidth="9.33203125" defaultRowHeight="12.75" x14ac:dyDescent="0.2"/>
  <cols>
    <col min="1" max="1" width="9.33203125" style="1303" customWidth="1"/>
    <col min="2" max="2" width="49.5" style="1303" bestFit="1" customWidth="1"/>
    <col min="3" max="3" width="30" style="1489" customWidth="1"/>
    <col min="4" max="4" width="19.5" style="1490" bestFit="1" customWidth="1"/>
    <col min="5" max="5" width="9.33203125" style="1491"/>
    <col min="6" max="6" width="26.83203125" style="1491" bestFit="1" customWidth="1"/>
    <col min="7" max="7" width="10.5" style="1491" bestFit="1" customWidth="1"/>
    <col min="8" max="8" width="30.33203125" style="1491" bestFit="1" customWidth="1"/>
    <col min="9" max="9" width="4.6640625" style="1491" bestFit="1" customWidth="1"/>
    <col min="10" max="10" width="8.1640625" style="1491" bestFit="1" customWidth="1"/>
    <col min="11" max="11" width="30.5" style="1759" customWidth="1"/>
    <col min="12" max="12" width="5.83203125" style="1491" bestFit="1" customWidth="1"/>
    <col min="13" max="13" width="9.33203125" style="1491" customWidth="1"/>
    <col min="14" max="14" width="9.33203125" style="1491"/>
    <col min="15" max="15" width="54.33203125" style="1303" customWidth="1"/>
    <col min="16" max="16" width="14" style="1303" customWidth="1"/>
    <col min="17" max="17" width="9.83203125" style="1303" customWidth="1"/>
    <col min="18" max="18" width="7.33203125" style="1490" customWidth="1"/>
    <col min="19" max="19" width="14" style="1303" customWidth="1"/>
    <col min="20" max="20" width="17" style="1303" customWidth="1"/>
    <col min="21" max="21" width="6.6640625" style="1303" customWidth="1"/>
    <col min="22" max="22" width="7.1640625" style="1303" customWidth="1"/>
    <col min="23" max="23" width="24.83203125" style="1303" customWidth="1"/>
    <col min="24" max="24" width="8.1640625" style="1303" customWidth="1"/>
    <col min="25" max="25" width="24.83203125" style="1303" customWidth="1"/>
    <col min="26" max="26" width="24.83203125" style="1491" customWidth="1"/>
    <col min="27" max="27" width="9.33203125" style="1303" customWidth="1"/>
    <col min="28" max="28" width="28" style="1303" customWidth="1"/>
    <col min="29" max="29" width="32.33203125" style="1303" customWidth="1"/>
    <col min="30" max="30" width="16.5" style="1303" customWidth="1"/>
    <col min="31" max="31" width="12.83203125" style="1303" customWidth="1"/>
    <col min="32" max="32" width="14.33203125" style="1303" customWidth="1"/>
    <col min="33" max="33" width="12.83203125" style="1303" customWidth="1"/>
    <col min="34" max="34" width="20.6640625" style="1303" customWidth="1"/>
    <col min="35" max="35" width="12.83203125" style="1303" customWidth="1"/>
    <col min="36" max="36" width="14.83203125" style="1303" customWidth="1"/>
    <col min="37" max="37" width="19.6640625" style="1303" customWidth="1"/>
    <col min="38" max="38" width="12.83203125" style="1303" customWidth="1"/>
    <col min="39" max="16384" width="9.33203125" style="1303"/>
  </cols>
  <sheetData>
    <row r="1" spans="2:38" ht="13.5" thickBot="1" x14ac:dyDescent="0.25">
      <c r="C1" s="1303"/>
      <c r="D1" s="1303"/>
      <c r="E1" s="1303"/>
      <c r="F1" s="1303"/>
      <c r="G1" s="1303"/>
      <c r="H1" s="1303"/>
      <c r="I1" s="1303"/>
      <c r="J1" s="1303"/>
      <c r="K1" s="1754"/>
      <c r="L1" s="1303"/>
      <c r="M1" s="1303"/>
    </row>
    <row r="2" spans="2:38" ht="16.5" thickBot="1" x14ac:dyDescent="0.3">
      <c r="B2" s="805" t="s">
        <v>961</v>
      </c>
      <c r="C2" s="1496"/>
      <c r="D2" s="1497"/>
      <c r="F2" s="1102" t="s">
        <v>611</v>
      </c>
      <c r="G2" s="1638"/>
      <c r="H2" s="1638"/>
      <c r="I2" s="1638"/>
      <c r="J2" s="1638"/>
      <c r="K2" s="1755"/>
      <c r="L2" s="1638"/>
      <c r="M2" s="1639"/>
      <c r="O2" s="1498" t="s">
        <v>758</v>
      </c>
      <c r="P2" s="1499"/>
      <c r="Q2" s="1499"/>
      <c r="R2" s="1692"/>
      <c r="S2" s="1499"/>
      <c r="T2" s="1500"/>
      <c r="U2" s="1626"/>
      <c r="W2" s="1502" t="s">
        <v>929</v>
      </c>
      <c r="X2" s="1503"/>
      <c r="Y2" s="1504"/>
      <c r="Z2" s="1567"/>
      <c r="AA2" s="1742"/>
      <c r="AB2" s="1499" t="s">
        <v>613</v>
      </c>
      <c r="AC2" s="1499"/>
      <c r="AD2" s="1499"/>
      <c r="AE2" s="1499"/>
      <c r="AF2" s="1500"/>
      <c r="AG2" s="1499"/>
      <c r="AH2" s="1499"/>
      <c r="AI2" s="1499"/>
      <c r="AJ2" s="1499"/>
      <c r="AK2" s="1499"/>
      <c r="AL2" s="1501"/>
    </row>
    <row r="3" spans="2:38" x14ac:dyDescent="0.2">
      <c r="B3" s="1570"/>
      <c r="C3" s="1571"/>
      <c r="D3" s="1572"/>
      <c r="F3" s="1305"/>
      <c r="G3" s="1092"/>
      <c r="H3" s="1303"/>
      <c r="I3" s="1092"/>
      <c r="J3" s="1092"/>
      <c r="K3" s="1761" t="s">
        <v>233</v>
      </c>
      <c r="L3" s="1762" t="s">
        <v>1105</v>
      </c>
      <c r="M3" s="1306"/>
      <c r="O3" s="1092"/>
      <c r="P3" s="1092"/>
      <c r="Q3" s="1092"/>
      <c r="R3" s="1517"/>
      <c r="S3" s="1092"/>
      <c r="T3" s="1092"/>
      <c r="U3" s="1092"/>
      <c r="W3" s="1505" t="s">
        <v>869</v>
      </c>
      <c r="X3" s="1506"/>
      <c r="Y3" s="1507"/>
      <c r="Z3" s="1617"/>
      <c r="AA3" s="1305"/>
      <c r="AB3" s="1092"/>
      <c r="AC3" s="1092"/>
      <c r="AD3" s="1092"/>
      <c r="AE3" s="1092"/>
      <c r="AF3" s="1092"/>
      <c r="AG3" s="1092"/>
      <c r="AH3" s="1092"/>
      <c r="AI3" s="1494"/>
      <c r="AJ3" s="1092"/>
      <c r="AK3" s="1492"/>
      <c r="AL3" s="1306"/>
    </row>
    <row r="4" spans="2:38" x14ac:dyDescent="0.2">
      <c r="B4" s="1573" t="s">
        <v>958</v>
      </c>
      <c r="C4" s="1577" t="str">
        <f>'01_ALGEMEEN'!D222</f>
        <v>(on)geschoord skelet</v>
      </c>
      <c r="D4" s="1590" t="str">
        <f>IF('01_ALGEMEEN'!D17="(on)geschoord skelet",IF(OR('01_ALGEMEEN'!D19="ongeschoord skelet",'01_ALGEMEEN'!D21="ongeschoord skelet"),"ongeschoord skelet","geschoord skelet"),"dragende wanden")</f>
        <v>geschoord skelet</v>
      </c>
      <c r="F4" s="1305" t="s">
        <v>487</v>
      </c>
      <c r="G4" s="1495" t="s">
        <v>420</v>
      </c>
      <c r="H4" s="1508" t="str">
        <f>CONCATENATE(F4," ",G4)</f>
        <v>kzs std kwaliteit CS12</v>
      </c>
      <c r="I4" s="1118">
        <v>2.2000000000000002</v>
      </c>
      <c r="J4" s="1092" t="s">
        <v>139</v>
      </c>
      <c r="K4" s="1757">
        <v>2.5</v>
      </c>
      <c r="L4" s="1092">
        <v>1850</v>
      </c>
      <c r="M4" s="1306" t="s">
        <v>137</v>
      </c>
      <c r="O4" s="1561" t="s">
        <v>961</v>
      </c>
      <c r="P4" s="1564" t="s">
        <v>619</v>
      </c>
      <c r="Q4" s="1564"/>
      <c r="R4" s="1693"/>
      <c r="S4" s="1564" t="s">
        <v>620</v>
      </c>
      <c r="T4" s="1564"/>
      <c r="U4" s="1563"/>
      <c r="W4" s="1509"/>
      <c r="X4" s="1510" t="s">
        <v>234</v>
      </c>
      <c r="Y4" s="1511"/>
      <c r="Z4" s="1748"/>
      <c r="AA4" s="1743" t="s">
        <v>1113</v>
      </c>
      <c r="AB4" s="1744"/>
      <c r="AC4" s="1745" t="e">
        <f>(C53/C39)*C41</f>
        <v>#VALUE!</v>
      </c>
      <c r="AD4" s="1746" t="s">
        <v>130</v>
      </c>
      <c r="AE4" s="1309" t="s">
        <v>1115</v>
      </c>
      <c r="AF4" s="1746"/>
      <c r="AG4" s="1092"/>
      <c r="AH4" s="1092"/>
      <c r="AK4" s="1092"/>
      <c r="AL4" s="1306"/>
    </row>
    <row r="5" spans="2:38" ht="13.5" thickBot="1" x14ac:dyDescent="0.25">
      <c r="B5" s="1574"/>
      <c r="C5" s="1575"/>
      <c r="D5" s="1576"/>
      <c r="F5" s="1305" t="s">
        <v>488</v>
      </c>
      <c r="G5" s="1092" t="s">
        <v>237</v>
      </c>
      <c r="H5" s="1508" t="str">
        <f t="shared" ref="H5" si="0">CONCATENATE(F5," ",G5)</f>
        <v>kzs klinker kwaliteit CS20</v>
      </c>
      <c r="I5" s="1118">
        <v>3.5</v>
      </c>
      <c r="J5" s="1092" t="s">
        <v>139</v>
      </c>
      <c r="K5" s="1757">
        <v>2.5</v>
      </c>
      <c r="L5" s="1092">
        <v>1850</v>
      </c>
      <c r="M5" s="1306" t="s">
        <v>137</v>
      </c>
      <c r="O5" s="1305" t="s">
        <v>1194</v>
      </c>
      <c r="P5" s="1522">
        <f>$C$35*1000/C26</f>
        <v>92219.905375000002</v>
      </c>
      <c r="Q5" s="1092" t="s">
        <v>128</v>
      </c>
      <c r="R5" s="1517"/>
      <c r="S5" s="1522" t="e">
        <f>VLOOKUP(C12,F41:G44,2,0)*P5</f>
        <v>#N/A</v>
      </c>
      <c r="T5" s="1092" t="s">
        <v>128</v>
      </c>
      <c r="U5" s="1306"/>
      <c r="W5" s="1512"/>
      <c r="X5" s="1513" t="s">
        <v>662</v>
      </c>
      <c r="Y5" s="1514"/>
      <c r="Z5" s="1748"/>
      <c r="AA5" s="1547" t="s">
        <v>1112</v>
      </c>
      <c r="AB5" s="1548" t="s">
        <v>487</v>
      </c>
      <c r="AC5" s="1747" t="e">
        <f>IF(AC4&lt;100,150,IF(AND(AC4&gt;100,AC4&lt;150),150,IF(AND(AC4&gt;150,AC4&lt;214),214,IF(AND(AC4&gt;214,AC4&lt;300),300,"geen kzs mogelijk"))))</f>
        <v>#VALUE!</v>
      </c>
      <c r="AD5" s="1548" t="s">
        <v>130</v>
      </c>
      <c r="AE5" s="1767" t="e">
        <f>IF(AC5="geen kzs mogelijk","geen kzs mogelijk",((AC5/1000)*$C$44*$C$45*L4)/$C$11)</f>
        <v>#VALUE!</v>
      </c>
      <c r="AF5" s="1549" t="s">
        <v>232</v>
      </c>
      <c r="AG5" s="1532" t="e">
        <f>IF(AC5="geen kzs mogelijk","geen kzs mogelijk",AE5/L4)</f>
        <v>#VALUE!</v>
      </c>
      <c r="AH5" s="1092" t="s">
        <v>985</v>
      </c>
      <c r="AI5" s="1521"/>
      <c r="AJ5" s="1092"/>
      <c r="AK5" s="1092"/>
      <c r="AL5" s="1306"/>
    </row>
    <row r="6" spans="2:38" x14ac:dyDescent="0.2">
      <c r="B6" s="1305" t="s">
        <v>1081</v>
      </c>
      <c r="C6" s="1521">
        <f>'01_ALGEMEEN'!F13</f>
        <v>10</v>
      </c>
      <c r="D6" s="1518" t="s">
        <v>17</v>
      </c>
      <c r="E6" s="1601"/>
      <c r="F6" s="1305" t="s">
        <v>489</v>
      </c>
      <c r="G6" s="1092" t="s">
        <v>421</v>
      </c>
      <c r="H6" s="1093" t="str">
        <f t="shared" ref="H6:H16" si="1">CONCATENATE(F6," ",G6)</f>
        <v>kzs hoogbouw kwaliteit CS44</v>
      </c>
      <c r="I6" s="1118">
        <v>8</v>
      </c>
      <c r="J6" s="1092" t="s">
        <v>139</v>
      </c>
      <c r="K6" s="1757">
        <v>2.5</v>
      </c>
      <c r="L6" s="1092">
        <v>2200</v>
      </c>
      <c r="M6" s="1306" t="s">
        <v>137</v>
      </c>
      <c r="N6" s="1525"/>
      <c r="O6" s="1305"/>
      <c r="P6" s="1092"/>
      <c r="Q6" s="1092"/>
      <c r="R6" s="1517"/>
      <c r="S6" s="1092"/>
      <c r="T6" s="1092"/>
      <c r="U6" s="1306"/>
      <c r="W6" s="1515" t="s">
        <v>777</v>
      </c>
      <c r="X6" s="1579">
        <v>2124</v>
      </c>
      <c r="Y6" s="1516" t="s">
        <v>777</v>
      </c>
      <c r="Z6" s="1579"/>
      <c r="AA6" s="1305" t="s">
        <v>1112</v>
      </c>
      <c r="AB6" s="1092" t="s">
        <v>488</v>
      </c>
      <c r="AC6" s="1093" t="e">
        <f>IF(AC4&lt;100,150,IF(AND(AC4&gt;100,AC4&lt;150),150,IF(AND(AC4&gt;150,AC4&lt;214),214,IF(AND(AC4&gt;214,AC4&lt;300),300,"geen kzs mogelijk"))))</f>
        <v>#VALUE!</v>
      </c>
      <c r="AD6" s="1092" t="s">
        <v>130</v>
      </c>
      <c r="AE6" s="1767" t="e">
        <f t="shared" ref="AE6:AE7" si="2">IF(AC6="geen kzs mogelijk","geen kzs mogelijk",((AC6/1000)*$C$44*$C$45*L5)/$C$11)</f>
        <v>#VALUE!</v>
      </c>
      <c r="AF6" s="1306" t="s">
        <v>232</v>
      </c>
      <c r="AG6" s="1532" t="e">
        <f>IF(AC6="geen kzs mogelijk","geen kzs mogelijk",AE6/L5)</f>
        <v>#VALUE!</v>
      </c>
      <c r="AH6" s="1092" t="s">
        <v>985</v>
      </c>
      <c r="AI6" s="1521"/>
      <c r="AJ6" s="1092"/>
      <c r="AK6" s="1092"/>
      <c r="AL6" s="1533"/>
    </row>
    <row r="7" spans="2:38" x14ac:dyDescent="0.2">
      <c r="B7" s="1305" t="s">
        <v>1082</v>
      </c>
      <c r="C7" s="1521">
        <f>'01_ALGEMEEN'!F14</f>
        <v>3.7</v>
      </c>
      <c r="D7" s="1518" t="s">
        <v>17</v>
      </c>
      <c r="E7" s="1601"/>
      <c r="F7" s="1491" t="s">
        <v>376</v>
      </c>
      <c r="G7" s="1491" t="s">
        <v>377</v>
      </c>
      <c r="H7" s="1508" t="str">
        <f t="shared" si="1"/>
        <v>gelamineerd hout GL24</v>
      </c>
      <c r="I7" s="1118">
        <v>16</v>
      </c>
      <c r="J7" s="1092" t="s">
        <v>966</v>
      </c>
      <c r="K7" s="1757"/>
      <c r="L7" s="1092">
        <v>380</v>
      </c>
      <c r="M7" s="1306" t="s">
        <v>137</v>
      </c>
      <c r="O7" s="1561" t="s">
        <v>976</v>
      </c>
      <c r="P7" s="1564" t="s">
        <v>619</v>
      </c>
      <c r="Q7" s="1564"/>
      <c r="R7" s="1693"/>
      <c r="S7" s="1564" t="s">
        <v>620</v>
      </c>
      <c r="T7" s="1564"/>
      <c r="U7" s="1563"/>
      <c r="W7" s="1515" t="s">
        <v>778</v>
      </c>
      <c r="X7" s="1579">
        <v>2534</v>
      </c>
      <c r="Y7" s="1516" t="s">
        <v>778</v>
      </c>
      <c r="Z7" s="1579"/>
      <c r="AA7" s="1305" t="s">
        <v>1112</v>
      </c>
      <c r="AB7" s="1092" t="s">
        <v>489</v>
      </c>
      <c r="AC7" s="1093" t="e">
        <f>IF(AC4&lt;100,150,IF(AND(AC4&gt;100,AC4&lt;150),150,IF(AND(AC4&gt;150,AC4&lt;214),214,IF(AND(AC4&gt;214,AC4&lt;300),300,"geen kzs mogelijk"))))</f>
        <v>#VALUE!</v>
      </c>
      <c r="AD7" s="1092" t="s">
        <v>130</v>
      </c>
      <c r="AE7" s="1767" t="e">
        <f t="shared" si="2"/>
        <v>#VALUE!</v>
      </c>
      <c r="AF7" s="1306" t="s">
        <v>232</v>
      </c>
      <c r="AG7" s="1532" t="e">
        <f>IF(AC7="geen kzs mogelijk","geen kzs mogelijk",AE7/L6)</f>
        <v>#VALUE!</v>
      </c>
      <c r="AH7" s="1092" t="s">
        <v>985</v>
      </c>
      <c r="AI7" s="1521"/>
      <c r="AJ7" s="1092"/>
      <c r="AK7" s="1092"/>
      <c r="AL7" s="1306"/>
    </row>
    <row r="8" spans="2:38" x14ac:dyDescent="0.2">
      <c r="B8" s="1305" t="s">
        <v>70</v>
      </c>
      <c r="C8" s="1522">
        <f>'01_ALGEMEEN'!E13</f>
        <v>5</v>
      </c>
      <c r="D8" s="1523" t="s">
        <v>610</v>
      </c>
      <c r="F8" s="1491" t="s">
        <v>368</v>
      </c>
      <c r="G8" s="1491" t="s">
        <v>1069</v>
      </c>
      <c r="H8" s="1508" t="str">
        <f t="shared" si="1"/>
        <v>naaldhout C24</v>
      </c>
      <c r="I8" s="1118">
        <v>12</v>
      </c>
      <c r="J8" s="1092" t="s">
        <v>967</v>
      </c>
      <c r="K8" s="1757"/>
      <c r="L8" s="1092">
        <v>320</v>
      </c>
      <c r="M8" s="1306" t="s">
        <v>137</v>
      </c>
      <c r="O8" s="1305" t="s">
        <v>1094</v>
      </c>
      <c r="P8" s="1522">
        <f>IF(SQRT(P5)&lt;200,200,SQRT(P5))</f>
        <v>303.67730467553878</v>
      </c>
      <c r="Q8" s="1092" t="s">
        <v>130</v>
      </c>
      <c r="R8" s="1517"/>
      <c r="S8" s="1522" t="e">
        <f>IF(SQRT(S5)&lt;200,200,SQRT(S5))</f>
        <v>#N/A</v>
      </c>
      <c r="T8" s="1092" t="s">
        <v>130</v>
      </c>
      <c r="U8" s="1306"/>
      <c r="W8" s="1515" t="s">
        <v>780</v>
      </c>
      <c r="X8" s="1579">
        <v>3142</v>
      </c>
      <c r="Y8" s="1516" t="s">
        <v>780</v>
      </c>
      <c r="Z8" s="1579"/>
      <c r="AA8" s="1305" t="s">
        <v>1112</v>
      </c>
      <c r="AB8" s="1092" t="s">
        <v>88</v>
      </c>
      <c r="AC8" s="1093" t="e">
        <f>IF(AC4&lt;150,150,IF(AC4&gt;150,MROUND(AC4,50)))</f>
        <v>#VALUE!</v>
      </c>
      <c r="AD8" s="1092" t="s">
        <v>130</v>
      </c>
      <c r="AE8" s="1767" t="e">
        <f>IF(AC8="geen kzs mogelijk","geen kzs mogelijk",((AC8/1000)*$C$44*$C$45*L11)/$C$11)</f>
        <v>#VALUE!</v>
      </c>
      <c r="AF8" s="1306" t="s">
        <v>232</v>
      </c>
      <c r="AG8" s="1532" t="e">
        <f>IF(AC8="geen kzs mogelijk","geen kzs mogelijk",AE8/L11)</f>
        <v>#VALUE!</v>
      </c>
      <c r="AH8" s="1092" t="s">
        <v>986</v>
      </c>
      <c r="AI8" s="1534" t="e">
        <f>AG8*$AC$11</f>
        <v>#VALUE!</v>
      </c>
      <c r="AJ8" s="1092" t="s">
        <v>232</v>
      </c>
      <c r="AK8" s="1092"/>
      <c r="AL8" s="1306"/>
    </row>
    <row r="9" spans="2:38" x14ac:dyDescent="0.2">
      <c r="B9" s="1305" t="s">
        <v>65</v>
      </c>
      <c r="C9" s="1093">
        <f>'01_ALGEMEEN'!E14</f>
        <v>9</v>
      </c>
      <c r="D9" s="1523" t="s">
        <v>610</v>
      </c>
      <c r="F9" s="1305" t="s">
        <v>617</v>
      </c>
      <c r="G9" s="1092" t="s">
        <v>58</v>
      </c>
      <c r="H9" s="1508" t="str">
        <f t="shared" si="1"/>
        <v>ihwg beton C53/65</v>
      </c>
      <c r="I9" s="1118">
        <v>20</v>
      </c>
      <c r="J9" s="1092" t="s">
        <v>139</v>
      </c>
      <c r="K9" s="1757">
        <v>1</v>
      </c>
      <c r="L9" s="1092">
        <v>2400</v>
      </c>
      <c r="M9" s="1306" t="s">
        <v>137</v>
      </c>
      <c r="O9" s="1305" t="s">
        <v>1093</v>
      </c>
      <c r="P9" s="1093">
        <f>CEILING(P8,50)</f>
        <v>350</v>
      </c>
      <c r="Q9" s="1092" t="s">
        <v>130</v>
      </c>
      <c r="R9" s="1517"/>
      <c r="S9" s="1093" t="e">
        <f>CEILING(S8,50)</f>
        <v>#N/A</v>
      </c>
      <c r="T9" s="1092" t="s">
        <v>130</v>
      </c>
      <c r="U9" s="1306"/>
      <c r="W9" s="1515" t="s">
        <v>782</v>
      </c>
      <c r="X9" s="1579">
        <v>3877</v>
      </c>
      <c r="Y9" s="1516" t="s">
        <v>782</v>
      </c>
      <c r="Z9" s="1579"/>
      <c r="AA9" s="1305" t="s">
        <v>1112</v>
      </c>
      <c r="AB9" s="1092" t="s">
        <v>617</v>
      </c>
      <c r="AC9" s="1093" t="e">
        <f>IF(AC4&lt;150,150,IF(AC4&gt;150,MROUND(AC4,50)))</f>
        <v>#VALUE!</v>
      </c>
      <c r="AD9" s="1092" t="s">
        <v>130</v>
      </c>
      <c r="AE9" s="1767" t="e">
        <f>IF(AC9="geen kzs mogelijk","geen kzs mogelijk",((AC9/1000)*$C$44*$C$45*L9)/$C$11)</f>
        <v>#VALUE!</v>
      </c>
      <c r="AF9" s="1520" t="s">
        <v>232</v>
      </c>
      <c r="AG9" s="1532" t="e">
        <f>IF(AC9="geen kzs mogelijk","geen kzs mogelijk",AE9/L9)</f>
        <v>#VALUE!</v>
      </c>
      <c r="AH9" s="1092" t="s">
        <v>986</v>
      </c>
      <c r="AI9" s="1534" t="e">
        <f>AG9*$AC$11</f>
        <v>#VALUE!</v>
      </c>
      <c r="AJ9" s="1092" t="s">
        <v>232</v>
      </c>
      <c r="AK9" s="1092"/>
      <c r="AL9" s="1306"/>
    </row>
    <row r="10" spans="2:38" x14ac:dyDescent="0.2">
      <c r="B10" s="1305" t="s">
        <v>1063</v>
      </c>
      <c r="C10" s="1521">
        <f>'01_ALGEMEEN'!D89</f>
        <v>3.7</v>
      </c>
      <c r="D10" s="1518" t="s">
        <v>17</v>
      </c>
      <c r="F10" s="1305" t="s">
        <v>617</v>
      </c>
      <c r="G10" s="1092" t="s">
        <v>1078</v>
      </c>
      <c r="H10" s="1508" t="str">
        <f t="shared" si="1"/>
        <v>ihwg beton C30/37</v>
      </c>
      <c r="I10" s="1118">
        <v>15</v>
      </c>
      <c r="J10" s="1092" t="s">
        <v>139</v>
      </c>
      <c r="K10" s="1757">
        <v>3</v>
      </c>
      <c r="L10" s="1092">
        <v>2400</v>
      </c>
      <c r="M10" s="1306" t="s">
        <v>137</v>
      </c>
      <c r="O10" s="1305" t="s">
        <v>1096</v>
      </c>
      <c r="P10" s="1093">
        <f>P9*P9</f>
        <v>122500</v>
      </c>
      <c r="Q10" s="1092" t="s">
        <v>130</v>
      </c>
      <c r="R10" s="1517"/>
      <c r="S10" s="1093" t="e">
        <f>S9*S9</f>
        <v>#N/A</v>
      </c>
      <c r="T10" s="1092" t="s">
        <v>130</v>
      </c>
      <c r="U10" s="1306"/>
      <c r="W10" s="1515" t="s">
        <v>784</v>
      </c>
      <c r="X10" s="1579">
        <v>4525</v>
      </c>
      <c r="Y10" s="1516" t="s">
        <v>784</v>
      </c>
      <c r="Z10" s="1579"/>
      <c r="AA10" s="1519" t="s">
        <v>1122</v>
      </c>
      <c r="AB10" s="1541" t="s">
        <v>987</v>
      </c>
      <c r="AC10" s="1768" t="str">
        <f>VLOOKUP(AB25,AA28:AC33,3,TRUE)</f>
        <v>46*96-300</v>
      </c>
      <c r="AD10" s="1765" t="s">
        <v>1116</v>
      </c>
      <c r="AE10" s="1528"/>
      <c r="AF10" s="1520"/>
      <c r="AK10" s="1092"/>
      <c r="AL10" s="1306"/>
    </row>
    <row r="11" spans="2:38" x14ac:dyDescent="0.2">
      <c r="B11" s="1305" t="s">
        <v>366</v>
      </c>
      <c r="C11" s="1521">
        <f>'01_ALGEMEEN'!F51</f>
        <v>16276</v>
      </c>
      <c r="D11" s="1518" t="s">
        <v>81</v>
      </c>
      <c r="F11" s="1305" t="s">
        <v>88</v>
      </c>
      <c r="G11" s="1092" t="s">
        <v>58</v>
      </c>
      <c r="H11" s="1508" t="str">
        <f t="shared" si="1"/>
        <v>prefab beton C53/65</v>
      </c>
      <c r="I11" s="1118">
        <v>32</v>
      </c>
      <c r="J11" s="1092" t="s">
        <v>139</v>
      </c>
      <c r="K11" s="1757">
        <v>1</v>
      </c>
      <c r="L11" s="1092">
        <v>2400</v>
      </c>
      <c r="M11" s="1306" t="s">
        <v>137</v>
      </c>
      <c r="O11" s="1305" t="s">
        <v>1203</v>
      </c>
      <c r="P11" s="1522">
        <f>P10/1000000*$C$31*$C$27</f>
        <v>853335</v>
      </c>
      <c r="Q11" s="1092" t="s">
        <v>104</v>
      </c>
      <c r="R11" s="1517"/>
      <c r="S11" s="1522" t="e">
        <f>S10/1000000*$C$31*$C$27</f>
        <v>#N/A</v>
      </c>
      <c r="T11" s="1092" t="s">
        <v>104</v>
      </c>
      <c r="U11" s="1306"/>
      <c r="W11" s="1515" t="s">
        <v>785</v>
      </c>
      <c r="X11" s="1579">
        <v>5383</v>
      </c>
      <c r="Y11" s="1516" t="s">
        <v>785</v>
      </c>
      <c r="Z11" s="1579"/>
      <c r="AA11" s="1305"/>
      <c r="AB11" s="1493" t="s">
        <v>1111</v>
      </c>
      <c r="AC11" s="1761">
        <f>IF(C12&lt;5,AI12,IF(AND(C12&gt;4,C12&lt;9),AI13,IF(C12&gt;8,AI14)))</f>
        <v>110</v>
      </c>
      <c r="AD11" s="1493" t="s">
        <v>261</v>
      </c>
      <c r="AE11" s="1092"/>
      <c r="AF11" s="1306"/>
      <c r="AG11" s="1092"/>
      <c r="AH11" s="1092" t="s">
        <v>1111</v>
      </c>
      <c r="AI11" s="1494" t="s">
        <v>137</v>
      </c>
      <c r="AJ11" s="1092"/>
      <c r="AK11" s="1092"/>
      <c r="AL11" s="1306"/>
    </row>
    <row r="12" spans="2:38" x14ac:dyDescent="0.2">
      <c r="B12" s="1305" t="s">
        <v>1083</v>
      </c>
      <c r="C12" s="1521">
        <f>'01_ALGEMEEN'!F52</f>
        <v>14</v>
      </c>
      <c r="D12" s="1518"/>
      <c r="F12" s="1305" t="s">
        <v>88</v>
      </c>
      <c r="G12" s="1092" t="s">
        <v>1078</v>
      </c>
      <c r="H12" s="1508" t="str">
        <f t="shared" si="1"/>
        <v>prefab beton C30/37</v>
      </c>
      <c r="I12" s="1118">
        <v>18</v>
      </c>
      <c r="J12" s="1092" t="s">
        <v>139</v>
      </c>
      <c r="K12" s="1757">
        <v>3</v>
      </c>
      <c r="L12" s="1092">
        <v>2400</v>
      </c>
      <c r="M12" s="1306" t="s">
        <v>137</v>
      </c>
      <c r="O12" s="1305" t="s">
        <v>1095</v>
      </c>
      <c r="P12" s="1522">
        <f>P5*0.02</f>
        <v>1844.3981075000002</v>
      </c>
      <c r="Q12" s="1092" t="s">
        <v>128</v>
      </c>
      <c r="R12" s="1517"/>
      <c r="S12" s="1522" t="e">
        <f>S5*0.02</f>
        <v>#N/A</v>
      </c>
      <c r="T12" s="1092" t="s">
        <v>128</v>
      </c>
      <c r="U12" s="1306"/>
      <c r="W12" s="1515" t="s">
        <v>787</v>
      </c>
      <c r="X12" s="1579">
        <v>6434</v>
      </c>
      <c r="Y12" s="1516" t="s">
        <v>787</v>
      </c>
      <c r="Z12" s="1579"/>
      <c r="AA12" s="1305"/>
      <c r="AB12" s="1493" t="s">
        <v>1115</v>
      </c>
      <c r="AC12" s="1536" t="e">
        <f>VLOOKUP(C38,AB5:AI9,4,0)</f>
        <v>#N/A</v>
      </c>
      <c r="AD12" s="1493" t="s">
        <v>232</v>
      </c>
      <c r="AE12" s="1493"/>
      <c r="AF12" s="1306"/>
      <c r="AG12" s="1092"/>
      <c r="AH12" s="1092" t="s">
        <v>744</v>
      </c>
      <c r="AI12" s="1494">
        <f>IF(AND('01_ALGEMEEN'!D227="geen/transport",C38="prefab beton"),5,IF(AND('01_ALGEMEEN'!D227="geen/transport",C38="ihwg beton"),0,60))</f>
        <v>60</v>
      </c>
      <c r="AJ12" s="1092"/>
      <c r="AK12" s="1092"/>
      <c r="AL12" s="1306"/>
    </row>
    <row r="13" spans="2:38" x14ac:dyDescent="0.2">
      <c r="B13" s="1525" t="s">
        <v>1084</v>
      </c>
      <c r="C13" s="1753">
        <f>MAX('01_ALGEMEEN'!F30,'01_ALGEMEEN'!F37,'01_ALGEMEEN'!F44)</f>
        <v>4.6899999999999995</v>
      </c>
      <c r="D13" s="1518" t="s">
        <v>17</v>
      </c>
      <c r="F13" s="1524" t="s">
        <v>216</v>
      </c>
      <c r="G13" s="1092" t="s">
        <v>52</v>
      </c>
      <c r="H13" s="1508" t="str">
        <f t="shared" si="1"/>
        <v>gewalst staal S235 S235</v>
      </c>
      <c r="I13" s="1118">
        <v>170</v>
      </c>
      <c r="J13" s="1092" t="s">
        <v>139</v>
      </c>
      <c r="K13" s="1757"/>
      <c r="L13" s="1092">
        <v>7850</v>
      </c>
      <c r="M13" s="1306" t="s">
        <v>137</v>
      </c>
      <c r="O13" s="1305" t="s">
        <v>1202</v>
      </c>
      <c r="P13" s="1686">
        <f>P12/1000000*$C$31*7850</f>
        <v>42023.919230097192</v>
      </c>
      <c r="Q13" s="1092" t="s">
        <v>104</v>
      </c>
      <c r="R13" s="1517"/>
      <c r="S13" s="1686" t="e">
        <f>S12/1000000*$C$31*7850</f>
        <v>#N/A</v>
      </c>
      <c r="T13" s="1092" t="s">
        <v>104</v>
      </c>
      <c r="U13" s="1306"/>
      <c r="W13" s="1515" t="s">
        <v>789</v>
      </c>
      <c r="X13" s="1579">
        <v>7684</v>
      </c>
      <c r="Y13" s="1516" t="s">
        <v>789</v>
      </c>
      <c r="Z13" s="1579"/>
      <c r="AA13" s="1305"/>
      <c r="AB13" s="1493" t="s">
        <v>1114</v>
      </c>
      <c r="AC13" s="1536" t="e">
        <f>VLOOKUP(C38,AB5:AI9,8,0)</f>
        <v>#N/A</v>
      </c>
      <c r="AD13" s="1493" t="s">
        <v>232</v>
      </c>
      <c r="AE13" s="1092"/>
      <c r="AF13" s="1306"/>
      <c r="AG13" s="1092"/>
      <c r="AH13" s="1092" t="s">
        <v>1231</v>
      </c>
      <c r="AI13" s="1494">
        <f>IF(AND('01_ALGEMEEN'!D227="geen/transport",C38="prefab beton"),5,IF(AND('01_ALGEMEEN'!D227="geen/transport",C38="ihwg beton"),0,90))</f>
        <v>90</v>
      </c>
      <c r="AJ13" s="1092"/>
      <c r="AK13" s="1538"/>
      <c r="AL13" s="1533"/>
    </row>
    <row r="14" spans="2:38" x14ac:dyDescent="0.2">
      <c r="B14" s="1525"/>
      <c r="C14" s="1526"/>
      <c r="D14" s="1306"/>
      <c r="F14" s="1524" t="s">
        <v>217</v>
      </c>
      <c r="G14" s="1092" t="s">
        <v>53</v>
      </c>
      <c r="H14" s="1508" t="str">
        <f t="shared" si="1"/>
        <v>gewalst staal S355 S355</v>
      </c>
      <c r="I14" s="1118">
        <v>250</v>
      </c>
      <c r="J14" s="1092" t="s">
        <v>139</v>
      </c>
      <c r="K14" s="1757"/>
      <c r="L14" s="1092">
        <v>7850</v>
      </c>
      <c r="M14" s="1306" t="s">
        <v>137</v>
      </c>
      <c r="O14" s="1305" t="s">
        <v>1201</v>
      </c>
      <c r="P14" s="1686">
        <f>P11/$C$11</f>
        <v>52.42903661833374</v>
      </c>
      <c r="Q14" s="1092" t="s">
        <v>232</v>
      </c>
      <c r="R14" s="1517"/>
      <c r="S14" s="1686" t="e">
        <f>S11/$C$11</f>
        <v>#N/A</v>
      </c>
      <c r="T14" s="1092" t="s">
        <v>232</v>
      </c>
      <c r="U14" s="1306"/>
      <c r="W14" s="1515" t="s">
        <v>791</v>
      </c>
      <c r="X14" s="1579">
        <v>8682</v>
      </c>
      <c r="Y14" s="1516" t="s">
        <v>791</v>
      </c>
      <c r="Z14" s="1579"/>
      <c r="AA14" s="1305"/>
      <c r="AB14" s="1558" t="s">
        <v>1104</v>
      </c>
      <c r="AC14" s="1764" t="e">
        <f>VLOOKUP(AC10,AC28:AK33,9,0)</f>
        <v>#VALUE!</v>
      </c>
      <c r="AD14" s="1493" t="s">
        <v>232</v>
      </c>
      <c r="AE14" s="1495"/>
      <c r="AF14" s="1602"/>
      <c r="AG14" s="1495"/>
      <c r="AH14" s="1495" t="s">
        <v>1232</v>
      </c>
      <c r="AI14" s="1621">
        <f>IF(AND('01_ALGEMEEN'!D227="geen/transport",C38="prefab beton"),5,IF(AND('01_ALGEMEEN'!D227="geen/transport",C38="ihwg beton"),0,110))</f>
        <v>110</v>
      </c>
      <c r="AJ14" s="1495"/>
      <c r="AK14" s="1495"/>
      <c r="AL14" s="1495"/>
    </row>
    <row r="15" spans="2:38" x14ac:dyDescent="0.2">
      <c r="B15" s="1305"/>
      <c r="C15" s="1092"/>
      <c r="D15" s="1306"/>
      <c r="F15" s="1524" t="s">
        <v>766</v>
      </c>
      <c r="G15" s="1092" t="s">
        <v>767</v>
      </c>
      <c r="H15" s="1508" t="str">
        <f t="shared" si="1"/>
        <v>gewalst staal S460 S460</v>
      </c>
      <c r="I15" s="1118">
        <v>300</v>
      </c>
      <c r="J15" s="1092" t="s">
        <v>139</v>
      </c>
      <c r="K15" s="1757"/>
      <c r="L15" s="1092">
        <v>7850</v>
      </c>
      <c r="M15" s="1306" t="s">
        <v>137</v>
      </c>
      <c r="O15" s="1305" t="s">
        <v>1200</v>
      </c>
      <c r="P15" s="1686">
        <f>P13/$C$11</f>
        <v>2.5819562073050624</v>
      </c>
      <c r="Q15" s="1092" t="s">
        <v>232</v>
      </c>
      <c r="R15" s="1517"/>
      <c r="S15" s="1686" t="e">
        <f>S13/$C$11</f>
        <v>#N/A</v>
      </c>
      <c r="T15" s="1092" t="s">
        <v>232</v>
      </c>
      <c r="U15" s="1306"/>
      <c r="W15" s="1515" t="s">
        <v>793</v>
      </c>
      <c r="X15" s="1579">
        <v>9726</v>
      </c>
      <c r="Y15" s="1516" t="s">
        <v>793</v>
      </c>
      <c r="Z15" s="1579"/>
      <c r="AA15" s="1305"/>
      <c r="AB15" s="1493" t="s">
        <v>1121</v>
      </c>
      <c r="AC15" s="1766" t="b">
        <f>IF(AND(C4=B80,C38="houtskeletbouw"),AK34)</f>
        <v>0</v>
      </c>
      <c r="AD15" s="1493" t="s">
        <v>232</v>
      </c>
      <c r="AE15" s="1092"/>
      <c r="AF15" s="1306"/>
    </row>
    <row r="16" spans="2:38" x14ac:dyDescent="0.2">
      <c r="B16" s="1305" t="s">
        <v>860</v>
      </c>
      <c r="C16" s="1534">
        <f>'01_ALGEMEEN'!P103</f>
        <v>8.6084800000000001</v>
      </c>
      <c r="D16" s="1518" t="s">
        <v>16</v>
      </c>
      <c r="F16" s="1519" t="s">
        <v>365</v>
      </c>
      <c r="G16" s="1528" t="s">
        <v>368</v>
      </c>
      <c r="H16" s="1529" t="str">
        <f t="shared" si="1"/>
        <v>houtskeletbouw naaldhout</v>
      </c>
      <c r="I16" s="1530">
        <v>8</v>
      </c>
      <c r="J16" s="1528" t="s">
        <v>139</v>
      </c>
      <c r="K16" s="1758"/>
      <c r="L16" s="1528">
        <v>320</v>
      </c>
      <c r="M16" s="1520" t="s">
        <v>137</v>
      </c>
      <c r="O16" s="1305"/>
      <c r="P16" s="1092"/>
      <c r="Q16" s="1092"/>
      <c r="R16" s="1517"/>
      <c r="S16" s="1092"/>
      <c r="T16" s="1092"/>
      <c r="U16" s="1306"/>
      <c r="W16" s="1515" t="s">
        <v>795</v>
      </c>
      <c r="X16" s="1579">
        <v>11250</v>
      </c>
      <c r="Y16" s="1516" t="s">
        <v>795</v>
      </c>
      <c r="Z16" s="1579"/>
      <c r="AA16" s="1519"/>
      <c r="AB16" s="1765"/>
      <c r="AC16" s="1528"/>
      <c r="AD16" s="1528"/>
      <c r="AE16" s="1528"/>
      <c r="AF16" s="1520"/>
      <c r="AG16" s="1092"/>
      <c r="AH16" s="1092"/>
      <c r="AI16" s="1494"/>
      <c r="AJ16" s="1092"/>
      <c r="AK16" s="1092"/>
      <c r="AL16" s="1306"/>
    </row>
    <row r="17" spans="1:38" ht="13.5" thickBot="1" x14ac:dyDescent="0.25">
      <c r="B17" s="1305" t="s">
        <v>861</v>
      </c>
      <c r="C17" s="1535">
        <f>'01_ALGEMEEN'!E32</f>
        <v>10</v>
      </c>
      <c r="D17" s="1518"/>
      <c r="O17" s="1561" t="s">
        <v>975</v>
      </c>
      <c r="P17" s="1564" t="s">
        <v>619</v>
      </c>
      <c r="Q17" s="1564"/>
      <c r="R17" s="1693"/>
      <c r="S17" s="1564" t="s">
        <v>620</v>
      </c>
      <c r="T17" s="1564"/>
      <c r="U17" s="1563"/>
      <c r="W17" s="1515" t="s">
        <v>797</v>
      </c>
      <c r="X17" s="1579">
        <v>12440</v>
      </c>
      <c r="Y17" s="1516" t="s">
        <v>797</v>
      </c>
      <c r="Z17" s="1579"/>
      <c r="AA17" s="1495"/>
      <c r="AB17" s="1558"/>
      <c r="AC17" s="1558"/>
      <c r="AD17" s="1558"/>
      <c r="AE17" s="1558"/>
      <c r="AF17" s="1558"/>
      <c r="AG17" s="1495"/>
      <c r="AH17" s="1558"/>
      <c r="AI17" s="1558"/>
      <c r="AJ17" s="1558"/>
      <c r="AK17" s="1092"/>
      <c r="AL17" s="1306"/>
    </row>
    <row r="18" spans="1:38" ht="13.5" thickBot="1" x14ac:dyDescent="0.25">
      <c r="B18" s="1305" t="s">
        <v>864</v>
      </c>
      <c r="C18" s="1534">
        <f>'01_ALGEMEEN'!P148</f>
        <v>9.3584800000000001</v>
      </c>
      <c r="D18" s="1518" t="s">
        <v>16</v>
      </c>
      <c r="F18" s="1102" t="s">
        <v>983</v>
      </c>
      <c r="G18" s="1638"/>
      <c r="H18" s="1638"/>
      <c r="I18" s="1638"/>
      <c r="J18" s="1638"/>
      <c r="K18" s="1755"/>
      <c r="L18" s="1638"/>
      <c r="M18" s="1639"/>
      <c r="O18" s="1702" t="s">
        <v>869</v>
      </c>
      <c r="P18" s="1703" t="str">
        <f>IF(P5&lt;$X$6,$Y$6,VLOOKUP(Q18,$X$6:$Y$30,2,FALSE))</f>
        <v>maximum bereikt</v>
      </c>
      <c r="Q18" s="1703">
        <f>INDEX(X6:X30,COUNTIF(X6:X30,"&lt;"&amp; P5)+1)</f>
        <v>999999</v>
      </c>
      <c r="R18" s="1704" t="s">
        <v>128</v>
      </c>
      <c r="S18" s="1703" t="e">
        <f>IF(S5&lt;$X$6,$Y$6,VLOOKUP(T18,$X$6:$Y$30,2,FALSE))</f>
        <v>#N/A</v>
      </c>
      <c r="T18" s="1703">
        <f>INDEX(X6:X30,COUNTIF(X6:X30,"&lt;"&amp; S5)+1)</f>
        <v>2124</v>
      </c>
      <c r="U18" s="1705" t="s">
        <v>128</v>
      </c>
      <c r="W18" s="1515" t="s">
        <v>799</v>
      </c>
      <c r="X18" s="1579">
        <v>13350</v>
      </c>
      <c r="Y18" s="1516" t="s">
        <v>799</v>
      </c>
      <c r="Z18" s="1579"/>
      <c r="AA18" s="1495"/>
      <c r="AB18" s="1558"/>
      <c r="AC18" s="1558"/>
      <c r="AD18" s="1558"/>
      <c r="AE18" s="1558"/>
      <c r="AF18" s="1558"/>
      <c r="AG18" s="1495"/>
      <c r="AH18" s="1558"/>
      <c r="AI18" s="1558"/>
      <c r="AJ18" s="1558"/>
      <c r="AK18" s="1092"/>
      <c r="AL18" s="1306"/>
    </row>
    <row r="19" spans="1:38" x14ac:dyDescent="0.2">
      <c r="B19" s="1305" t="s">
        <v>861</v>
      </c>
      <c r="C19" s="1535">
        <f>'01_ALGEMEEN'!E39</f>
        <v>3</v>
      </c>
      <c r="D19" s="1518"/>
      <c r="F19" s="1305"/>
      <c r="G19" s="1092"/>
      <c r="H19" s="1092"/>
      <c r="I19" s="1092"/>
      <c r="J19" s="1092"/>
      <c r="K19" s="1606"/>
      <c r="L19" s="1560" t="s">
        <v>984</v>
      </c>
      <c r="M19" s="1602"/>
      <c r="O19" s="1688" t="s">
        <v>870</v>
      </c>
      <c r="P19" s="1687" t="str">
        <f>IF(P5&lt;$X$35,$Y$35,VLOOKUP(Q19,$X$35:$Y$59,2,FALSE))</f>
        <v>maximum bereikt</v>
      </c>
      <c r="Q19" s="1687">
        <f>INDEX(X35:X59,COUNTIF(X35:X59,"&lt;"&amp; P5)+1)</f>
        <v>999999</v>
      </c>
      <c r="R19" s="1694" t="s">
        <v>128</v>
      </c>
      <c r="S19" s="1687" t="e">
        <f>IF(S5&lt;$X$35,$Y$35,VLOOKUP(T19,$X$35:$Y$59,2,FALSE))</f>
        <v>#N/A</v>
      </c>
      <c r="T19" s="1687">
        <f>INDEX(X35:X59,COUNTIF(X35:X59,"&lt;"&amp; S5)+1)</f>
        <v>2600</v>
      </c>
      <c r="U19" s="1706" t="s">
        <v>128</v>
      </c>
      <c r="W19" s="1515" t="s">
        <v>800</v>
      </c>
      <c r="X19" s="1579">
        <v>14280</v>
      </c>
      <c r="Y19" s="1516" t="s">
        <v>800</v>
      </c>
      <c r="Z19" s="1579"/>
      <c r="AA19" s="1495"/>
      <c r="AB19" s="1560"/>
      <c r="AC19" s="1495"/>
      <c r="AD19" s="1495"/>
      <c r="AE19" s="1495"/>
      <c r="AF19" s="1495"/>
      <c r="AG19" s="1495"/>
      <c r="AH19" s="1560"/>
      <c r="AI19" s="1750"/>
      <c r="AJ19" s="1750"/>
      <c r="AK19" s="1092"/>
      <c r="AL19" s="1306"/>
    </row>
    <row r="20" spans="1:38" x14ac:dyDescent="0.2">
      <c r="B20" s="1305" t="s">
        <v>862</v>
      </c>
      <c r="C20" s="1534">
        <f>'01_ALGEMEEN'!P193</f>
        <v>8.5440000000000005</v>
      </c>
      <c r="D20" s="1518" t="s">
        <v>16</v>
      </c>
      <c r="F20" s="1305" t="s">
        <v>487</v>
      </c>
      <c r="G20" s="1495" t="s">
        <v>420</v>
      </c>
      <c r="H20" s="1093" t="str">
        <f t="shared" ref="H20:H27" si="3">CONCATENATE(F20," ",G20)</f>
        <v>kzs std kwaliteit CS12</v>
      </c>
      <c r="I20" s="1641">
        <v>5</v>
      </c>
      <c r="J20" s="1092" t="s">
        <v>16</v>
      </c>
      <c r="K20" s="1608"/>
      <c r="L20" s="1641">
        <f>I20*C13*1.2</f>
        <v>28.139999999999993</v>
      </c>
      <c r="M20" s="1306" t="s">
        <v>269</v>
      </c>
      <c r="O20" s="1688" t="s">
        <v>872</v>
      </c>
      <c r="P20" s="1687" t="e">
        <f>IF(P5&lt;$X$64,$Y$64,VLOOKUP(Q20,$X$64:$Y$88,2,FALSE))</f>
        <v>#N/A</v>
      </c>
      <c r="Q20" s="1687" t="b">
        <f>IF(D25="S235",INDEX(X64:X70,COUNTIF(X64:X70,"&lt;"&amp; P5)+1),IF(D25="S355",INDEX(X71:X88,COUNTIF(X71:X88,"&lt;"&amp; P5)+1),IF(D25="S460",INDEX(X71:X88,COUNTIF(X71:X88,"&lt;"&amp; P5)+1))))</f>
        <v>0</v>
      </c>
      <c r="R20" s="1694" t="s">
        <v>128</v>
      </c>
      <c r="S20" s="1687" t="e">
        <f>IF(S5&lt;$X$64,$Y$64,VLOOKUP(T20,$X$64:$Y$88,2,TRUE))</f>
        <v>#N/A</v>
      </c>
      <c r="T20" s="1687">
        <f>INDEX(X64:X88,COUNTIF(X64:X88,"&lt;"&amp; S5)+1)</f>
        <v>541</v>
      </c>
      <c r="U20" s="1706" t="s">
        <v>128</v>
      </c>
      <c r="W20" s="1515" t="s">
        <v>802</v>
      </c>
      <c r="X20" s="1579">
        <v>15900</v>
      </c>
      <c r="Y20" s="1516" t="s">
        <v>802</v>
      </c>
      <c r="Z20" s="1579"/>
      <c r="AA20" s="1495"/>
      <c r="AB20" s="1560"/>
      <c r="AC20" s="1495"/>
      <c r="AD20" s="1495"/>
      <c r="AE20" s="1495"/>
      <c r="AF20" s="1495"/>
      <c r="AG20" s="1495"/>
      <c r="AH20" s="1560"/>
      <c r="AI20" s="1750"/>
      <c r="AJ20" s="1750"/>
      <c r="AK20" s="1092"/>
      <c r="AL20" s="1306"/>
    </row>
    <row r="21" spans="1:38" x14ac:dyDescent="0.2">
      <c r="B21" s="1305" t="s">
        <v>863</v>
      </c>
      <c r="C21" s="1539">
        <f>(C16*C17+C18*C19+C20)/C12</f>
        <v>8.7645885714285718</v>
      </c>
      <c r="D21" s="1584" t="s">
        <v>16</v>
      </c>
      <c r="E21" s="1303"/>
      <c r="F21" s="1305" t="s">
        <v>488</v>
      </c>
      <c r="G21" s="1092" t="s">
        <v>237</v>
      </c>
      <c r="H21" s="1093" t="str">
        <f t="shared" si="3"/>
        <v>kzs klinker kwaliteit CS20</v>
      </c>
      <c r="I21" s="1641">
        <v>5</v>
      </c>
      <c r="J21" s="1092" t="s">
        <v>16</v>
      </c>
      <c r="K21" s="1608"/>
      <c r="L21" s="1641">
        <f>I21*C13*1.2</f>
        <v>28.139999999999993</v>
      </c>
      <c r="M21" s="1306" t="s">
        <v>269</v>
      </c>
      <c r="O21" s="1305" t="s">
        <v>357</v>
      </c>
      <c r="P21" s="1535" t="str">
        <f>VLOOKUP($C$28,$O$18:$P$20,2,0)</f>
        <v>maximum bereikt</v>
      </c>
      <c r="Q21" s="1092"/>
      <c r="R21" s="1517"/>
      <c r="S21" s="1521" t="e">
        <f>VLOOKUP($C$28,$O$18:$S$20,5,0)</f>
        <v>#N/A</v>
      </c>
      <c r="T21" s="1092"/>
      <c r="U21" s="1306"/>
      <c r="W21" s="1515" t="s">
        <v>805</v>
      </c>
      <c r="X21" s="1579">
        <v>17800</v>
      </c>
      <c r="Y21" s="1516" t="s">
        <v>805</v>
      </c>
      <c r="Z21" s="1579"/>
      <c r="AA21" s="1495"/>
      <c r="AB21" s="1495"/>
      <c r="AC21" s="1495"/>
      <c r="AD21" s="1495"/>
      <c r="AE21" s="1495"/>
      <c r="AF21" s="1495"/>
      <c r="AG21" s="1495"/>
      <c r="AH21" s="1495"/>
      <c r="AI21" s="1621"/>
      <c r="AJ21" s="1495"/>
      <c r="AL21" s="1306"/>
    </row>
    <row r="22" spans="1:38" x14ac:dyDescent="0.2">
      <c r="B22" s="1740" t="s">
        <v>1061</v>
      </c>
      <c r="C22" s="1555">
        <f>MROUND(C21,5)</f>
        <v>10</v>
      </c>
      <c r="D22" s="1585" t="s">
        <v>16</v>
      </c>
      <c r="E22" s="1303"/>
      <c r="F22" s="1305" t="s">
        <v>489</v>
      </c>
      <c r="G22" s="1092" t="s">
        <v>421</v>
      </c>
      <c r="H22" s="1093" t="str">
        <f t="shared" si="3"/>
        <v>kzs hoogbouw kwaliteit CS44</v>
      </c>
      <c r="I22" s="1641">
        <v>5</v>
      </c>
      <c r="J22" s="1092" t="s">
        <v>16</v>
      </c>
      <c r="K22" s="1608"/>
      <c r="L22" s="1641">
        <f>I22*C13*1.2</f>
        <v>28.139999999999993</v>
      </c>
      <c r="M22" s="1306" t="s">
        <v>269</v>
      </c>
      <c r="O22" s="1305" t="s">
        <v>1198</v>
      </c>
      <c r="P22" s="1522">
        <f>IF(P21="maximum bereikt",0,VLOOKUP(P21,W6:X88,2,0)/1000000*$C$27*$C$31)</f>
        <v>0</v>
      </c>
      <c r="Q22" s="1092" t="s">
        <v>104</v>
      </c>
      <c r="R22" s="1517"/>
      <c r="S22" s="1522" t="e">
        <f>IF(S21="maximum bereikt",0,VLOOKUP(S21,W6:X88,2,0)/1000000*$C$31*$C$27)</f>
        <v>#N/A</v>
      </c>
      <c r="T22" s="1092" t="s">
        <v>104</v>
      </c>
      <c r="U22" s="1306"/>
      <c r="W22" s="1515" t="s">
        <v>807</v>
      </c>
      <c r="X22" s="1579">
        <v>19750</v>
      </c>
      <c r="Y22" s="1516" t="s">
        <v>807</v>
      </c>
      <c r="Z22" s="1579"/>
      <c r="AA22" s="1495"/>
      <c r="AB22" s="1558"/>
      <c r="AC22" s="1558"/>
      <c r="AD22" s="1558"/>
      <c r="AE22" s="1558"/>
      <c r="AF22" s="1558"/>
      <c r="AG22" s="1495"/>
      <c r="AH22" s="1495"/>
      <c r="AI22" s="1621"/>
      <c r="AJ22" s="1495"/>
      <c r="AK22" s="1092"/>
      <c r="AL22" s="1306"/>
    </row>
    <row r="23" spans="1:38" ht="13.5" thickBot="1" x14ac:dyDescent="0.25">
      <c r="A23" s="1092"/>
      <c r="B23" s="1548"/>
      <c r="C23" s="1548"/>
      <c r="D23" s="1548"/>
      <c r="E23" s="1495"/>
      <c r="F23" s="1305" t="s">
        <v>617</v>
      </c>
      <c r="G23" s="1092" t="s">
        <v>58</v>
      </c>
      <c r="H23" s="1093" t="str">
        <f t="shared" si="3"/>
        <v>ihwg beton C53/65</v>
      </c>
      <c r="I23" s="1641">
        <v>6.5</v>
      </c>
      <c r="J23" s="1092" t="s">
        <v>16</v>
      </c>
      <c r="K23" s="1608"/>
      <c r="L23" s="1641">
        <f>I23*C13*1.2</f>
        <v>36.581999999999994</v>
      </c>
      <c r="M23" s="1306" t="s">
        <v>269</v>
      </c>
      <c r="O23" s="1305" t="s">
        <v>1199</v>
      </c>
      <c r="P23" s="1686">
        <f>P22/$C$11</f>
        <v>0</v>
      </c>
      <c r="Q23" s="1092" t="s">
        <v>232</v>
      </c>
      <c r="R23" s="1517"/>
      <c r="S23" s="1686" t="e">
        <f>S22/$C$11</f>
        <v>#N/A</v>
      </c>
      <c r="T23" s="1092" t="s">
        <v>232</v>
      </c>
      <c r="U23" s="1306"/>
      <c r="W23" s="1515" t="s">
        <v>809</v>
      </c>
      <c r="X23" s="1579">
        <v>21180</v>
      </c>
      <c r="Y23" s="1516" t="s">
        <v>809</v>
      </c>
      <c r="Z23" s="1579"/>
      <c r="AA23" s="1495"/>
      <c r="AB23" s="1558"/>
      <c r="AC23" s="1558"/>
      <c r="AD23" s="1558"/>
      <c r="AE23" s="1558"/>
      <c r="AF23" s="1558"/>
      <c r="AG23" s="1495"/>
      <c r="AH23" s="1495"/>
      <c r="AI23" s="1621"/>
      <c r="AJ23" s="1495"/>
      <c r="AK23" s="1092"/>
      <c r="AL23" s="1306"/>
    </row>
    <row r="24" spans="1:38" ht="13.5" thickBot="1" x14ac:dyDescent="0.25">
      <c r="B24" s="1578" t="s">
        <v>758</v>
      </c>
      <c r="C24" s="1633"/>
      <c r="D24" s="1634"/>
      <c r="E24" s="1495"/>
      <c r="F24" s="1305" t="s">
        <v>617</v>
      </c>
      <c r="G24" s="1092" t="s">
        <v>1078</v>
      </c>
      <c r="H24" s="1093" t="str">
        <f t="shared" si="3"/>
        <v>ihwg beton C30/37</v>
      </c>
      <c r="I24" s="1641">
        <v>6.5</v>
      </c>
      <c r="J24" s="1092" t="s">
        <v>16</v>
      </c>
      <c r="K24" s="1608"/>
      <c r="L24" s="1641">
        <f>I24*C13*1.2</f>
        <v>36.581999999999994</v>
      </c>
      <c r="M24" s="1306" t="s">
        <v>269</v>
      </c>
      <c r="O24" s="1519"/>
      <c r="P24" s="1528"/>
      <c r="Q24" s="1528"/>
      <c r="R24" s="1707"/>
      <c r="S24" s="1528"/>
      <c r="T24" s="1528"/>
      <c r="U24" s="1520"/>
      <c r="W24" s="1515" t="s">
        <v>811</v>
      </c>
      <c r="X24" s="1579">
        <v>22650</v>
      </c>
      <c r="Y24" s="1516" t="s">
        <v>811</v>
      </c>
      <c r="Z24" s="1579"/>
      <c r="AA24" s="1537"/>
      <c r="AB24" s="1560"/>
      <c r="AC24" s="1750"/>
      <c r="AD24" s="1750"/>
      <c r="AE24" s="1750"/>
      <c r="AF24" s="1750"/>
      <c r="AG24" s="1495"/>
      <c r="AH24" s="1495"/>
      <c r="AI24" s="1621"/>
      <c r="AJ24" s="1495"/>
      <c r="AK24" s="1092"/>
      <c r="AL24" s="1306"/>
    </row>
    <row r="25" spans="1:38" ht="15" thickBot="1" x14ac:dyDescent="0.3">
      <c r="B25" s="1305" t="s">
        <v>957</v>
      </c>
      <c r="C25" s="1527" t="str">
        <f>IF($C$4="dragende wanden","",'01_ALGEMEEN'!D226)</f>
        <v>prefab beton</v>
      </c>
      <c r="D25" s="1587" t="str">
        <f>'01_ALGEMEEN'!F226</f>
        <v>C53/65</v>
      </c>
      <c r="E25" s="1495"/>
      <c r="F25" s="1305" t="s">
        <v>88</v>
      </c>
      <c r="G25" s="1092" t="s">
        <v>58</v>
      </c>
      <c r="H25" s="1093" t="str">
        <f t="shared" si="3"/>
        <v>prefab beton C53/65</v>
      </c>
      <c r="I25" s="1641">
        <v>6.5</v>
      </c>
      <c r="J25" s="1092" t="s">
        <v>16</v>
      </c>
      <c r="K25" s="1608"/>
      <c r="L25" s="1641">
        <f>I25*C13*1.2</f>
        <v>36.581999999999994</v>
      </c>
      <c r="M25" s="1306" t="s">
        <v>269</v>
      </c>
      <c r="O25" s="1561" t="s">
        <v>974</v>
      </c>
      <c r="P25" s="1564" t="s">
        <v>619</v>
      </c>
      <c r="Q25" s="1564"/>
      <c r="R25" s="1693"/>
      <c r="S25" s="1564" t="s">
        <v>620</v>
      </c>
      <c r="T25" s="1564"/>
      <c r="U25" s="1563"/>
      <c r="W25" s="1515" t="s">
        <v>813</v>
      </c>
      <c r="X25" s="1579">
        <v>24260</v>
      </c>
      <c r="Y25" s="1516" t="s">
        <v>813</v>
      </c>
      <c r="Z25" s="1579"/>
      <c r="AA25" s="1797" t="s">
        <v>1124</v>
      </c>
      <c r="AB25" s="1560">
        <f>INDEX(AA28:AA33,COUNTIF(AA28:AA33,"&lt;"&amp; C53)+1)</f>
        <v>36</v>
      </c>
      <c r="AC25" s="1750"/>
      <c r="AD25" s="1750"/>
      <c r="AE25" s="1750"/>
      <c r="AF25" s="1750"/>
      <c r="AG25" s="1495"/>
      <c r="AH25" s="1495"/>
      <c r="AI25" s="1621"/>
      <c r="AJ25" s="1495"/>
      <c r="AK25" s="1092"/>
      <c r="AL25" s="1306"/>
    </row>
    <row r="26" spans="1:38" ht="13.5" thickBot="1" x14ac:dyDescent="0.25">
      <c r="B26" s="1553" t="str">
        <f>CONCATENATE(C25," ",D25)</f>
        <v>prefab beton C53/65</v>
      </c>
      <c r="C26" s="1093">
        <f>IF($C$4="dragende wanden","",VLOOKUP(B26,$H$4:$I$16,2,0))</f>
        <v>32</v>
      </c>
      <c r="D26" s="1588" t="s">
        <v>139</v>
      </c>
      <c r="F26" s="1305" t="s">
        <v>88</v>
      </c>
      <c r="G26" s="1092" t="s">
        <v>1078</v>
      </c>
      <c r="H26" s="1093" t="str">
        <f t="shared" si="3"/>
        <v>prefab beton C30/37</v>
      </c>
      <c r="I26" s="1641">
        <v>6.5</v>
      </c>
      <c r="J26" s="1092" t="s">
        <v>16</v>
      </c>
      <c r="K26" s="1608"/>
      <c r="L26" s="1641">
        <f>I26*C13*1.2</f>
        <v>36.581999999999994</v>
      </c>
      <c r="M26" s="1306" t="s">
        <v>269</v>
      </c>
      <c r="O26" s="1688" t="s">
        <v>376</v>
      </c>
      <c r="P26" s="1687" t="str">
        <f>IF(P5&lt;$X$94,$Y$94,VLOOKUP(Q26,$X$94:$Y$99,2,TRUE))</f>
        <v>maximum bereikt</v>
      </c>
      <c r="Q26" s="1703">
        <f>INDEX(X94:X99,COUNTIF(X94:X99,"&lt;"&amp; P5)+1)</f>
        <v>999999</v>
      </c>
      <c r="R26" s="1704" t="s">
        <v>128</v>
      </c>
      <c r="S26" s="1687" t="e">
        <f>IF(S5&lt;$X$94,$Y$94,VLOOKUP(T26,$X$94:$Y$99,2,TRUE))</f>
        <v>#N/A</v>
      </c>
      <c r="T26" s="1703">
        <f>INDEX(X94:X99,COUNTIF(X94:X99,"&lt;"&amp; S5)+1)</f>
        <v>25600</v>
      </c>
      <c r="U26" s="1705" t="s">
        <v>128</v>
      </c>
      <c r="W26" s="1515" t="s">
        <v>815</v>
      </c>
      <c r="X26" s="1579">
        <v>26050</v>
      </c>
      <c r="Y26" s="1516" t="s">
        <v>815</v>
      </c>
      <c r="Z26" s="1579"/>
      <c r="AA26" s="1796"/>
      <c r="AB26" s="1499" t="s">
        <v>612</v>
      </c>
      <c r="AC26" s="1499"/>
      <c r="AD26" s="1499"/>
      <c r="AE26" s="1499"/>
      <c r="AF26" s="1500"/>
      <c r="AG26" s="1499"/>
      <c r="AH26" s="1499"/>
      <c r="AI26" s="1499"/>
      <c r="AJ26" s="1499"/>
      <c r="AK26" s="1499"/>
      <c r="AL26" s="1501"/>
    </row>
    <row r="27" spans="1:38" ht="14.25" x14ac:dyDescent="0.25">
      <c r="B27" s="1741" t="s">
        <v>1105</v>
      </c>
      <c r="C27" s="1093">
        <f>IF($C$4="dragende wanden","",VLOOKUP($B$26,$H$4:$L$16,5,0))</f>
        <v>2400</v>
      </c>
      <c r="D27" s="1588" t="s">
        <v>137</v>
      </c>
      <c r="F27" s="1519" t="s">
        <v>365</v>
      </c>
      <c r="G27" s="1528" t="s">
        <v>368</v>
      </c>
      <c r="H27" s="1529" t="str">
        <f t="shared" si="3"/>
        <v>houtskeletbouw naaldhout</v>
      </c>
      <c r="I27" s="1642">
        <v>0.5</v>
      </c>
      <c r="J27" s="1528" t="s">
        <v>16</v>
      </c>
      <c r="K27" s="1760"/>
      <c r="L27" s="1642">
        <f>I27*C13*1.2</f>
        <v>2.8139999999999996</v>
      </c>
      <c r="M27" s="1520" t="s">
        <v>269</v>
      </c>
      <c r="O27" s="1688" t="s">
        <v>368</v>
      </c>
      <c r="P27" s="1687" t="str">
        <f>IF(P5&lt;$X$104,$Y$104,VLOOKUP(Q27,$X$104:$Y$108,2,TRUE))</f>
        <v>maximum bereikt</v>
      </c>
      <c r="Q27" s="1687">
        <f>INDEX(X104:X108,COUNTIF(X104:X108,"&lt;"&amp; P5)+1)</f>
        <v>999999</v>
      </c>
      <c r="R27" s="1694" t="s">
        <v>128</v>
      </c>
      <c r="S27" s="1687" t="e">
        <f>IF(S5&lt;$X$104,$Y$104,VLOOKUP(T27,$X$104:$Y$108,2,TRUE))</f>
        <v>#N/A</v>
      </c>
      <c r="T27" s="1687">
        <f>INDEX(X104:X108,COUNTIF(X104:X108,"&lt;"&amp; S5)+1)</f>
        <v>9204</v>
      </c>
      <c r="U27" s="1706" t="s">
        <v>128</v>
      </c>
      <c r="W27" s="1515" t="s">
        <v>817</v>
      </c>
      <c r="X27" s="1579">
        <v>28580</v>
      </c>
      <c r="Y27" s="1516" t="s">
        <v>817</v>
      </c>
      <c r="Z27" s="1579"/>
      <c r="AA27" s="1763" t="s">
        <v>1124</v>
      </c>
      <c r="AB27" s="1548"/>
      <c r="AC27" s="1548"/>
      <c r="AD27" s="1770" t="s">
        <v>1125</v>
      </c>
      <c r="AE27" s="1770" t="s">
        <v>1126</v>
      </c>
      <c r="AF27" s="1770" t="s">
        <v>1127</v>
      </c>
      <c r="AG27" s="1770" t="s">
        <v>1123</v>
      </c>
      <c r="AH27" s="1770" t="s">
        <v>362</v>
      </c>
      <c r="AI27" s="1770" t="s">
        <v>363</v>
      </c>
      <c r="AJ27" s="1770" t="s">
        <v>137</v>
      </c>
      <c r="AK27" s="1769" t="s">
        <v>1128</v>
      </c>
      <c r="AL27" s="1771" t="s">
        <v>1124</v>
      </c>
    </row>
    <row r="28" spans="1:38" ht="13.5" thickBot="1" x14ac:dyDescent="0.25">
      <c r="B28" s="1305" t="s">
        <v>964</v>
      </c>
      <c r="C28" s="1527" t="str">
        <f>IF($C$4="dragende wanden","",'01_ALGEMEEN'!E226)</f>
        <v>HEB</v>
      </c>
      <c r="D28" s="1518"/>
      <c r="K28" s="1608"/>
      <c r="L28" s="1495"/>
      <c r="M28" s="1495"/>
      <c r="O28" s="1305" t="s">
        <v>1102</v>
      </c>
      <c r="P28" s="1535" t="e">
        <f>VLOOKUP($C$25,$O$26:$P$27,2,0)</f>
        <v>#N/A</v>
      </c>
      <c r="Q28" s="1092"/>
      <c r="R28" s="1517"/>
      <c r="S28" s="1521" t="e">
        <f>VLOOKUP($C$25,$O$26:$S$27,5,0)</f>
        <v>#N/A</v>
      </c>
      <c r="T28" s="1495"/>
      <c r="U28" s="1602"/>
      <c r="W28" s="1515" t="s">
        <v>820</v>
      </c>
      <c r="X28" s="1579">
        <v>32050</v>
      </c>
      <c r="Y28" s="1516" t="s">
        <v>820</v>
      </c>
      <c r="Z28" s="1579"/>
      <c r="AA28" s="1749">
        <v>36</v>
      </c>
      <c r="AB28" s="1092" t="s">
        <v>1070</v>
      </c>
      <c r="AC28" s="1092" t="s">
        <v>359</v>
      </c>
      <c r="AD28" s="1756">
        <v>46</v>
      </c>
      <c r="AE28" s="1756">
        <v>96</v>
      </c>
      <c r="AF28" s="1756">
        <v>300</v>
      </c>
      <c r="AG28" s="1772">
        <f>AD28*AE28*10^-6</f>
        <v>4.4159999999999998E-3</v>
      </c>
      <c r="AH28" s="1773">
        <f>(1/(AF28/1000))*AG28</f>
        <v>1.472E-2</v>
      </c>
      <c r="AI28" s="1756">
        <v>1</v>
      </c>
      <c r="AJ28" s="1756">
        <v>320</v>
      </c>
      <c r="AK28" s="1773" t="e">
        <f>AH28*$C$44*$C$45*AJ28/$C$11</f>
        <v>#VALUE!</v>
      </c>
      <c r="AL28" s="1774">
        <v>36</v>
      </c>
    </row>
    <row r="29" spans="1:38" ht="13.5" thickBot="1" x14ac:dyDescent="0.25">
      <c r="B29" s="1604" t="s">
        <v>414</v>
      </c>
      <c r="C29" s="1628">
        <f>IF($C$4="dragende wanden","",(C8*C9))</f>
        <v>45</v>
      </c>
      <c r="D29" s="1549"/>
      <c r="F29" s="1635" t="s">
        <v>972</v>
      </c>
      <c r="G29" s="1636"/>
      <c r="H29" s="1637"/>
      <c r="I29" s="1118"/>
      <c r="J29" s="1092"/>
      <c r="K29" s="1608"/>
      <c r="L29" s="1495"/>
      <c r="M29" s="1495"/>
      <c r="O29" s="1305" t="s">
        <v>1103</v>
      </c>
      <c r="P29" s="1522" t="e">
        <f>IF(P28="maximum bereikt",0,VLOOKUP(P28,W94:X108,2,0)/1000000*$C$31*$C$27)</f>
        <v>#N/A</v>
      </c>
      <c r="Q29" s="1092" t="s">
        <v>104</v>
      </c>
      <c r="R29" s="1517"/>
      <c r="S29" s="1522" t="e">
        <f>IF(S28="maximum bereikt",0,VLOOKUP(S28,W94:X108,2,0)/1000000*$C$31*$C$27)</f>
        <v>#N/A</v>
      </c>
      <c r="T29" s="1092" t="s">
        <v>104</v>
      </c>
      <c r="U29" s="1306"/>
      <c r="W29" s="1515" t="s">
        <v>822</v>
      </c>
      <c r="X29" s="1579">
        <v>34680</v>
      </c>
      <c r="Y29" s="1516" t="s">
        <v>822</v>
      </c>
      <c r="Z29" s="1579"/>
      <c r="AA29" s="1749">
        <v>40</v>
      </c>
      <c r="AB29" s="1092" t="s">
        <v>1070</v>
      </c>
      <c r="AC29" s="1092" t="s">
        <v>360</v>
      </c>
      <c r="AD29" s="1756">
        <v>38</v>
      </c>
      <c r="AE29" s="1756">
        <v>140</v>
      </c>
      <c r="AF29" s="1756">
        <v>400</v>
      </c>
      <c r="AG29" s="1772">
        <f t="shared" ref="AG29:AG32" si="4">AD29*AE29*10^-6</f>
        <v>5.3200000000000001E-3</v>
      </c>
      <c r="AH29" s="1773">
        <f t="shared" ref="AH29:AH32" si="5">(1/(AF29/1000))*AG29</f>
        <v>1.3299999999999999E-2</v>
      </c>
      <c r="AI29" s="1756">
        <v>1</v>
      </c>
      <c r="AJ29" s="1756">
        <v>320</v>
      </c>
      <c r="AK29" s="1773" t="e">
        <f>AH29*$C$44*$C$45*AJ29/$C$11</f>
        <v>#VALUE!</v>
      </c>
      <c r="AL29" s="1774">
        <v>40</v>
      </c>
    </row>
    <row r="30" spans="1:38" x14ac:dyDescent="0.2">
      <c r="B30" s="1525" t="s">
        <v>564</v>
      </c>
      <c r="C30" s="1531">
        <f>IF($C$4="dragende wanden","",'01_ALGEMEEN'!F53)</f>
        <v>64.5</v>
      </c>
      <c r="D30" s="1306" t="s">
        <v>17</v>
      </c>
      <c r="F30" s="1613" t="s">
        <v>973</v>
      </c>
      <c r="G30" s="1614"/>
      <c r="H30" s="1615"/>
      <c r="I30" s="1118"/>
      <c r="J30" s="1092"/>
      <c r="K30" s="1608"/>
      <c r="L30" s="1495"/>
      <c r="M30" s="1495"/>
      <c r="O30" s="1305" t="s">
        <v>1104</v>
      </c>
      <c r="P30" s="1686" t="e">
        <f>P29/$C$11</f>
        <v>#N/A</v>
      </c>
      <c r="Q30" s="1092" t="s">
        <v>232</v>
      </c>
      <c r="R30" s="1517"/>
      <c r="S30" s="1686" t="e">
        <f>S29/$C$11</f>
        <v>#N/A</v>
      </c>
      <c r="T30" s="1092" t="s">
        <v>232</v>
      </c>
      <c r="U30" s="1306"/>
      <c r="W30" s="1515" t="s">
        <v>924</v>
      </c>
      <c r="X30" s="1579">
        <v>999999</v>
      </c>
      <c r="Y30" s="1516" t="s">
        <v>924</v>
      </c>
      <c r="Z30" s="1579"/>
      <c r="AA30" s="1749">
        <v>52</v>
      </c>
      <c r="AB30" s="1092" t="s">
        <v>1070</v>
      </c>
      <c r="AC30" s="1092" t="s">
        <v>1117</v>
      </c>
      <c r="AD30" s="1756">
        <v>46</v>
      </c>
      <c r="AE30" s="1756">
        <v>121</v>
      </c>
      <c r="AF30" s="1756">
        <v>300</v>
      </c>
      <c r="AG30" s="1772">
        <f t="shared" si="4"/>
        <v>5.5659999999999998E-3</v>
      </c>
      <c r="AH30" s="1773">
        <f t="shared" si="5"/>
        <v>1.8553333333333335E-2</v>
      </c>
      <c r="AI30" s="1756">
        <v>1</v>
      </c>
      <c r="AJ30" s="1756">
        <v>320</v>
      </c>
      <c r="AK30" s="1773" t="e">
        <f>AH30*$C$44*$C$45*AJ30/$C$11</f>
        <v>#VALUE!</v>
      </c>
      <c r="AL30" s="1774">
        <v>52</v>
      </c>
    </row>
    <row r="31" spans="1:38" x14ac:dyDescent="0.2">
      <c r="B31" s="1540" t="s">
        <v>981</v>
      </c>
      <c r="C31" s="1629">
        <f>IF($C$4="dragende wanden","",(C29*C30))</f>
        <v>2902.5</v>
      </c>
      <c r="D31" s="1520" t="s">
        <v>17</v>
      </c>
      <c r="F31" s="1605" t="s">
        <v>546</v>
      </c>
      <c r="G31" s="1606" t="s">
        <v>970</v>
      </c>
      <c r="H31" s="1602"/>
      <c r="I31" s="1495"/>
      <c r="J31" s="1495"/>
      <c r="K31" s="1608"/>
      <c r="L31" s="1495"/>
      <c r="M31" s="1495"/>
      <c r="O31" s="1689"/>
      <c r="P31" s="1690"/>
      <c r="Q31" s="1690"/>
      <c r="R31" s="1695"/>
      <c r="S31" s="1690"/>
      <c r="T31" s="1690"/>
      <c r="U31" s="1691"/>
      <c r="W31" s="1544"/>
      <c r="X31" s="1545"/>
      <c r="Y31" s="1546"/>
      <c r="Z31" s="1607"/>
      <c r="AA31" s="1749">
        <v>62</v>
      </c>
      <c r="AB31" s="1092" t="s">
        <v>1070</v>
      </c>
      <c r="AC31" s="1092" t="s">
        <v>361</v>
      </c>
      <c r="AD31" s="1756">
        <v>46</v>
      </c>
      <c r="AE31" s="1756">
        <v>146</v>
      </c>
      <c r="AF31" s="1756">
        <v>400</v>
      </c>
      <c r="AG31" s="1772">
        <f t="shared" si="4"/>
        <v>6.7159999999999997E-3</v>
      </c>
      <c r="AH31" s="1773">
        <f>(1/(AF31/1000))*AG31</f>
        <v>1.6789999999999999E-2</v>
      </c>
      <c r="AI31" s="1756">
        <v>1</v>
      </c>
      <c r="AJ31" s="1756">
        <v>320</v>
      </c>
      <c r="AK31" s="1773" t="e">
        <f>AH31*$C$44*$C$45*AJ31/$C$11</f>
        <v>#VALUE!</v>
      </c>
      <c r="AL31" s="1774">
        <v>62</v>
      </c>
    </row>
    <row r="32" spans="1:38" x14ac:dyDescent="0.2">
      <c r="B32" s="1305" t="s">
        <v>1080</v>
      </c>
      <c r="C32" s="1521">
        <f>IF($C$4="dragende wanden","",(C6*C7))</f>
        <v>37</v>
      </c>
      <c r="D32" s="1518" t="s">
        <v>81</v>
      </c>
      <c r="F32" s="1605">
        <v>1</v>
      </c>
      <c r="G32" s="1608">
        <v>1</v>
      </c>
      <c r="H32" s="1602"/>
      <c r="I32" s="1495"/>
      <c r="J32" s="1495"/>
      <c r="K32" s="1608"/>
      <c r="L32" s="1495"/>
      <c r="M32" s="1495"/>
      <c r="O32" s="1495"/>
      <c r="P32" s="1495"/>
      <c r="Q32" s="1495"/>
      <c r="R32" s="1622"/>
      <c r="S32" s="1495"/>
      <c r="T32" s="1495"/>
      <c r="U32" s="1495"/>
      <c r="W32" s="1550" t="s">
        <v>870</v>
      </c>
      <c r="X32" s="1551"/>
      <c r="Y32" s="1552"/>
      <c r="Z32" s="1617"/>
      <c r="AA32" s="1749">
        <v>100</v>
      </c>
      <c r="AB32" s="1092" t="s">
        <v>1070</v>
      </c>
      <c r="AC32" s="1092" t="s">
        <v>1118</v>
      </c>
      <c r="AD32" s="1756">
        <f>2*46</f>
        <v>92</v>
      </c>
      <c r="AE32" s="1756">
        <v>146</v>
      </c>
      <c r="AF32" s="1756">
        <v>300</v>
      </c>
      <c r="AG32" s="1772">
        <f t="shared" si="4"/>
        <v>1.3431999999999999E-2</v>
      </c>
      <c r="AH32" s="1773">
        <f t="shared" si="5"/>
        <v>4.4773333333333332E-2</v>
      </c>
      <c r="AI32" s="1756">
        <v>1</v>
      </c>
      <c r="AJ32" s="1756">
        <v>320</v>
      </c>
      <c r="AK32" s="1773" t="e">
        <f>AH32*$C$44*$C$45*AJ32/$C$11</f>
        <v>#VALUE!</v>
      </c>
      <c r="AL32" s="1774">
        <v>100</v>
      </c>
    </row>
    <row r="33" spans="1:38" x14ac:dyDescent="0.2">
      <c r="B33" s="1305" t="s">
        <v>968</v>
      </c>
      <c r="C33" s="1522">
        <f>IF($C$4="dragende wanden","",((C12-1)*C21*C32))</f>
        <v>4215.7671028571431</v>
      </c>
      <c r="D33" s="1306" t="s">
        <v>82</v>
      </c>
      <c r="F33" s="1605">
        <v>2</v>
      </c>
      <c r="G33" s="1608">
        <v>1</v>
      </c>
      <c r="H33" s="1602"/>
      <c r="O33" s="1495"/>
      <c r="P33" s="1495"/>
      <c r="Q33" s="1495"/>
      <c r="R33" s="1622"/>
      <c r="S33" s="1495"/>
      <c r="T33" s="1495"/>
      <c r="U33" s="1495"/>
      <c r="W33" s="1509"/>
      <c r="X33" s="1510" t="s">
        <v>234</v>
      </c>
      <c r="Y33" s="1511"/>
      <c r="Z33" s="1748"/>
      <c r="AA33" s="1749">
        <v>9999</v>
      </c>
      <c r="AB33" s="1092" t="s">
        <v>1070</v>
      </c>
      <c r="AC33" s="1092" t="s">
        <v>1119</v>
      </c>
      <c r="AD33" s="1756"/>
      <c r="AE33" s="1756"/>
      <c r="AF33" s="1756"/>
      <c r="AG33" s="1772"/>
      <c r="AH33" s="1773"/>
      <c r="AI33" s="1756"/>
      <c r="AJ33" s="1756"/>
      <c r="AK33" s="1776" t="s">
        <v>1119</v>
      </c>
      <c r="AL33" s="1774"/>
    </row>
    <row r="34" spans="1:38" x14ac:dyDescent="0.2">
      <c r="B34" s="1305" t="s">
        <v>980</v>
      </c>
      <c r="C34" s="1521">
        <f>IF($C$4="dragende wanden","",IF(C12&gt;F38,G38,VLOOKUP(C12,F32:G38,2,0)))</f>
        <v>0.7</v>
      </c>
      <c r="D34" s="1518"/>
      <c r="F34" s="1605">
        <v>3</v>
      </c>
      <c r="G34" s="1608">
        <v>1</v>
      </c>
      <c r="H34" s="1602"/>
      <c r="O34" s="1558"/>
      <c r="P34" s="1624"/>
      <c r="Q34" s="1558"/>
      <c r="R34" s="1560"/>
      <c r="S34" s="1495"/>
      <c r="T34" s="1495"/>
      <c r="U34" s="1495"/>
      <c r="W34" s="1512"/>
      <c r="X34" s="1513" t="s">
        <v>662</v>
      </c>
      <c r="Y34" s="1514"/>
      <c r="Z34" s="1748"/>
      <c r="AA34" s="1304"/>
      <c r="AB34" s="1092" t="s">
        <v>364</v>
      </c>
      <c r="AC34" s="1092" t="s">
        <v>1120</v>
      </c>
      <c r="AD34" s="1756"/>
      <c r="AE34" s="1756"/>
      <c r="AF34" s="1756"/>
      <c r="AG34" s="1756"/>
      <c r="AH34" s="1772">
        <f>2*0.0125</f>
        <v>2.5000000000000001E-2</v>
      </c>
      <c r="AI34" s="1756">
        <v>1</v>
      </c>
      <c r="AJ34" s="1756">
        <v>900</v>
      </c>
      <c r="AK34" s="1773" t="e">
        <f>AH34*$C$44*$C$45*AJ34/$C$11</f>
        <v>#VALUE!</v>
      </c>
      <c r="AL34" s="1775"/>
    </row>
    <row r="35" spans="1:38" x14ac:dyDescent="0.2">
      <c r="B35" s="1519" t="s">
        <v>969</v>
      </c>
      <c r="C35" s="1565">
        <f>IF($C$4="dragende wanden","",(C33*C34))</f>
        <v>2951.0369719999999</v>
      </c>
      <c r="D35" s="1520" t="s">
        <v>82</v>
      </c>
      <c r="F35" s="1605">
        <v>4</v>
      </c>
      <c r="G35" s="1608">
        <v>0.85</v>
      </c>
      <c r="H35" s="1602"/>
      <c r="O35" s="1558"/>
      <c r="P35" s="1624"/>
      <c r="Q35" s="1558"/>
      <c r="R35" s="1560"/>
      <c r="S35" s="1625"/>
      <c r="T35" s="1495"/>
      <c r="U35" s="1495"/>
      <c r="W35" s="1515" t="s">
        <v>779</v>
      </c>
      <c r="X35" s="1579">
        <v>2600</v>
      </c>
      <c r="Y35" s="1516" t="s">
        <v>779</v>
      </c>
      <c r="Z35" s="1579"/>
      <c r="AA35" s="1548"/>
      <c r="AB35" s="1751"/>
      <c r="AC35" s="1752"/>
      <c r="AD35" s="1751"/>
      <c r="AE35" s="1548"/>
      <c r="AF35" s="1548"/>
      <c r="AG35" s="1548"/>
      <c r="AH35" s="1548"/>
      <c r="AI35" s="1554"/>
      <c r="AJ35" s="1548"/>
      <c r="AK35" s="1548"/>
      <c r="AL35" s="1548"/>
    </row>
    <row r="36" spans="1:38" ht="13.5" thickBot="1" x14ac:dyDescent="0.25">
      <c r="A36" s="1092"/>
      <c r="B36" s="1092"/>
      <c r="C36" s="1494"/>
      <c r="D36" s="1517"/>
      <c r="E36" s="1495"/>
      <c r="F36" s="1605">
        <v>5</v>
      </c>
      <c r="G36" s="1608">
        <v>0.85</v>
      </c>
      <c r="H36" s="1602"/>
      <c r="O36" s="1495"/>
      <c r="P36" s="1495"/>
      <c r="Q36" s="1495"/>
      <c r="R36" s="1622"/>
      <c r="S36" s="1495"/>
      <c r="T36" s="1495"/>
      <c r="U36" s="1495"/>
      <c r="W36" s="1515" t="s">
        <v>781</v>
      </c>
      <c r="X36" s="1579">
        <v>3400</v>
      </c>
      <c r="Y36" s="1516" t="s">
        <v>781</v>
      </c>
      <c r="Z36" s="1579"/>
    </row>
    <row r="37" spans="1:38" ht="13.5" thickBot="1" x14ac:dyDescent="0.25">
      <c r="B37" s="1578" t="s">
        <v>760</v>
      </c>
      <c r="C37" s="1633"/>
      <c r="D37" s="1634"/>
      <c r="F37" s="1605">
        <v>6</v>
      </c>
      <c r="G37" s="1608">
        <v>0.7</v>
      </c>
      <c r="H37" s="1602"/>
      <c r="O37" s="1558"/>
      <c r="P37" s="1495"/>
      <c r="Q37" s="1495"/>
      <c r="R37" s="1622"/>
      <c r="S37" s="1495"/>
      <c r="T37" s="1495"/>
      <c r="U37" s="1495"/>
      <c r="W37" s="1515" t="s">
        <v>783</v>
      </c>
      <c r="X37" s="1579">
        <v>4300</v>
      </c>
      <c r="Y37" s="1516" t="s">
        <v>783</v>
      </c>
      <c r="Z37" s="1579"/>
    </row>
    <row r="38" spans="1:38" x14ac:dyDescent="0.2">
      <c r="B38" s="1305" t="s">
        <v>614</v>
      </c>
      <c r="C38" s="1521" t="str">
        <f>IF($C$4&lt;&gt;"dragende wanden","",'01_ALGEMEEN'!D225)</f>
        <v/>
      </c>
      <c r="D38" s="1589" t="str">
        <f>IF($C$4&lt;&gt;"dragende wanden","",'01_ALGEMEEN'!E225)</f>
        <v/>
      </c>
      <c r="F38" s="1605">
        <v>7</v>
      </c>
      <c r="G38" s="1608">
        <v>0.7</v>
      </c>
      <c r="H38" s="1602"/>
      <c r="O38" s="1495"/>
      <c r="P38" s="1495"/>
      <c r="Q38" s="1495"/>
      <c r="R38" s="1622"/>
      <c r="S38" s="1495"/>
      <c r="T38" s="1495"/>
      <c r="U38" s="1495"/>
      <c r="W38" s="1515" t="s">
        <v>786</v>
      </c>
      <c r="X38" s="1579">
        <v>5430</v>
      </c>
      <c r="Y38" s="1516" t="s">
        <v>786</v>
      </c>
      <c r="Z38" s="1579"/>
    </row>
    <row r="39" spans="1:38" x14ac:dyDescent="0.2">
      <c r="B39" s="1553" t="str">
        <f>IF($C$4&lt;&gt;"dragende wanden","",CONCATENATE(C38," ",D38))</f>
        <v/>
      </c>
      <c r="C39" s="1521" t="str">
        <f>IF($C$4&lt;&gt;"dragende wanden","",VLOOKUP(B39,$H$4:$I$16,2,0))</f>
        <v/>
      </c>
      <c r="D39" s="1588" t="s">
        <v>139</v>
      </c>
      <c r="F39" s="1562" t="s">
        <v>971</v>
      </c>
      <c r="G39" s="1564"/>
      <c r="H39" s="1563"/>
      <c r="O39" s="1495"/>
      <c r="P39" s="1622"/>
      <c r="Q39" s="1495"/>
      <c r="R39" s="1622"/>
      <c r="S39" s="1495"/>
      <c r="T39" s="1495"/>
      <c r="U39" s="1495"/>
      <c r="W39" s="1515" t="s">
        <v>788</v>
      </c>
      <c r="X39" s="1579">
        <v>6530</v>
      </c>
      <c r="Y39" s="1516" t="s">
        <v>788</v>
      </c>
      <c r="Z39" s="1579"/>
    </row>
    <row r="40" spans="1:38" x14ac:dyDescent="0.2">
      <c r="B40" s="1741" t="s">
        <v>1105</v>
      </c>
      <c r="C40" s="1093" t="str">
        <f>IF($C$4="dragende wanden",VLOOKUP($B$39,$H$4:$L$16,5,0),"")</f>
        <v/>
      </c>
      <c r="D40" s="1588" t="s">
        <v>137</v>
      </c>
      <c r="F40" s="1605" t="s">
        <v>546</v>
      </c>
      <c r="G40" s="1606" t="s">
        <v>970</v>
      </c>
      <c r="H40" s="1602"/>
      <c r="O40" s="1558"/>
      <c r="P40" s="1558"/>
      <c r="Q40" s="1558"/>
      <c r="R40" s="1560"/>
      <c r="S40" s="1558"/>
      <c r="T40" s="1558"/>
      <c r="U40" s="1558"/>
      <c r="W40" s="1515" t="s">
        <v>790</v>
      </c>
      <c r="X40" s="1579">
        <v>7810</v>
      </c>
      <c r="Y40" s="1516" t="s">
        <v>790</v>
      </c>
      <c r="Z40" s="1579"/>
    </row>
    <row r="41" spans="1:38" x14ac:dyDescent="0.2">
      <c r="B41" s="1519" t="s">
        <v>233</v>
      </c>
      <c r="C41" s="1643" t="str">
        <f>IF($C$4="dragende wanden",VLOOKUP($B$39,$H$4:$L$16,4,0),"")</f>
        <v/>
      </c>
      <c r="D41" s="1585"/>
      <c r="F41" s="1610">
        <v>1</v>
      </c>
      <c r="G41" s="1609">
        <v>1.1000000000000001</v>
      </c>
      <c r="H41" s="1602"/>
      <c r="O41" s="1560"/>
      <c r="P41" s="1526"/>
      <c r="Q41" s="1526"/>
      <c r="R41" s="1696"/>
      <c r="S41" s="1559"/>
      <c r="T41" s="1559"/>
      <c r="U41" s="1559"/>
      <c r="W41" s="1515" t="s">
        <v>792</v>
      </c>
      <c r="X41" s="1579">
        <v>9100</v>
      </c>
      <c r="Y41" s="1516" t="s">
        <v>792</v>
      </c>
      <c r="Z41" s="1579"/>
    </row>
    <row r="42" spans="1:38" x14ac:dyDescent="0.2">
      <c r="B42" s="1604" t="s">
        <v>367</v>
      </c>
      <c r="C42" s="1603" t="str">
        <f>IF($C$4&lt;&gt;"dragende wanden","",'01_ALGEMEEN'!E17)</f>
        <v/>
      </c>
      <c r="D42" s="1644"/>
      <c r="F42" s="1610">
        <v>2</v>
      </c>
      <c r="G42" s="1609">
        <v>1.1499999999999999</v>
      </c>
      <c r="H42" s="1602"/>
      <c r="O42" s="1560"/>
      <c r="P42" s="1526"/>
      <c r="Q42" s="1526"/>
      <c r="R42" s="1696"/>
      <c r="S42" s="1559"/>
      <c r="T42" s="1559"/>
      <c r="U42" s="1559"/>
      <c r="W42" s="1515" t="s">
        <v>794</v>
      </c>
      <c r="X42" s="1579">
        <v>10600</v>
      </c>
      <c r="Y42" s="1516" t="s">
        <v>794</v>
      </c>
      <c r="Z42" s="1579"/>
    </row>
    <row r="43" spans="1:38" x14ac:dyDescent="0.2">
      <c r="B43" s="1525" t="s">
        <v>982</v>
      </c>
      <c r="C43" s="1527" t="str">
        <f>IF($C$4&lt;&gt;"dragende wanden","",IF(C42=0,0,VLOOKUP(C42,B6:C7,2)))</f>
        <v/>
      </c>
      <c r="D43" s="1518" t="s">
        <v>17</v>
      </c>
      <c r="F43" s="1610">
        <v>3</v>
      </c>
      <c r="G43" s="1609">
        <v>1.25</v>
      </c>
      <c r="H43" s="1602"/>
      <c r="O43" s="1560"/>
      <c r="P43" s="1559"/>
      <c r="Q43" s="1559"/>
      <c r="R43" s="1697"/>
      <c r="S43" s="1559"/>
      <c r="T43" s="1559"/>
      <c r="U43" s="1559"/>
      <c r="W43" s="1515" t="s">
        <v>796</v>
      </c>
      <c r="X43" s="1579">
        <v>11800</v>
      </c>
      <c r="Y43" s="1516" t="s">
        <v>796</v>
      </c>
      <c r="Z43" s="1579"/>
    </row>
    <row r="44" spans="1:38" x14ac:dyDescent="0.2">
      <c r="B44" s="1305" t="s">
        <v>1204</v>
      </c>
      <c r="C44" s="1521" t="e">
        <f>IF(C42="x",C43*(C8-1)*C9,C43*(C9-1)*C8)</f>
        <v>#VALUE!</v>
      </c>
      <c r="D44" s="1518" t="s">
        <v>17</v>
      </c>
      <c r="F44" s="1611">
        <v>4</v>
      </c>
      <c r="G44" s="1612">
        <v>1.5</v>
      </c>
      <c r="H44" s="1542"/>
      <c r="O44" s="1495"/>
      <c r="P44" s="1622"/>
      <c r="Q44" s="1495"/>
      <c r="R44" s="1622"/>
      <c r="S44" s="1559"/>
      <c r="T44" s="1559"/>
      <c r="U44" s="1559"/>
      <c r="W44" s="1515" t="s">
        <v>798</v>
      </c>
      <c r="X44" s="1579">
        <v>13100</v>
      </c>
      <c r="Y44" s="1516" t="s">
        <v>798</v>
      </c>
      <c r="Z44" s="1579"/>
    </row>
    <row r="45" spans="1:38" x14ac:dyDescent="0.2">
      <c r="B45" s="1305" t="s">
        <v>1205</v>
      </c>
      <c r="C45" s="1534">
        <f>'01_ALGEMEEN'!F53</f>
        <v>64.5</v>
      </c>
      <c r="D45" s="1518" t="s">
        <v>17</v>
      </c>
      <c r="O45" s="1558"/>
      <c r="P45" s="1558"/>
      <c r="Q45" s="1558"/>
      <c r="R45" s="1560"/>
      <c r="S45" s="1495"/>
      <c r="T45" s="1495"/>
      <c r="U45" s="1495"/>
      <c r="W45" s="1515" t="s">
        <v>801</v>
      </c>
      <c r="X45" s="1579">
        <v>14900</v>
      </c>
      <c r="Y45" s="1516" t="s">
        <v>801</v>
      </c>
      <c r="Z45" s="1579"/>
    </row>
    <row r="46" spans="1:38" x14ac:dyDescent="0.2">
      <c r="B46" s="1519" t="s">
        <v>1234</v>
      </c>
      <c r="C46" s="1645" t="e">
        <f>C44*C45</f>
        <v>#VALUE!</v>
      </c>
      <c r="D46" s="1520" t="s">
        <v>81</v>
      </c>
      <c r="O46" s="1560"/>
      <c r="P46" s="1526"/>
      <c r="Q46" s="1526"/>
      <c r="R46" s="1696"/>
      <c r="S46" s="1495"/>
      <c r="T46" s="1495"/>
      <c r="U46" s="1495"/>
      <c r="W46" s="1515" t="s">
        <v>803</v>
      </c>
      <c r="X46" s="1579">
        <v>16100</v>
      </c>
      <c r="Y46" s="1516" t="s">
        <v>803</v>
      </c>
      <c r="Z46" s="1579"/>
    </row>
    <row r="47" spans="1:38" x14ac:dyDescent="0.2">
      <c r="B47" s="1547" t="s">
        <v>1106</v>
      </c>
      <c r="C47" s="1646" t="str">
        <f>IF($C$4&lt;&gt;"dragende wanden","",'01_ALGEMEEN'!D89)</f>
        <v/>
      </c>
      <c r="D47" s="1644" t="s">
        <v>17</v>
      </c>
      <c r="O47" s="1560"/>
      <c r="P47" s="1526"/>
      <c r="Q47" s="1526"/>
      <c r="R47" s="1696"/>
      <c r="S47" s="1495"/>
      <c r="T47" s="1495"/>
      <c r="U47" s="1495"/>
      <c r="W47" s="1515" t="s">
        <v>804</v>
      </c>
      <c r="X47" s="1579">
        <v>17100</v>
      </c>
      <c r="Y47" s="1516" t="s">
        <v>804</v>
      </c>
      <c r="Z47" s="1579"/>
    </row>
    <row r="48" spans="1:38" x14ac:dyDescent="0.2">
      <c r="B48" s="1305" t="s">
        <v>1109</v>
      </c>
      <c r="C48" s="1526" t="str">
        <f>IF($C$4&lt;&gt;"dragende wanden","",(C47*C21))</f>
        <v/>
      </c>
      <c r="D48" s="1518" t="s">
        <v>269</v>
      </c>
      <c r="O48" s="1495"/>
      <c r="P48" s="1495"/>
      <c r="Q48" s="1495"/>
      <c r="R48" s="1622"/>
      <c r="S48" s="1495"/>
      <c r="T48" s="1495"/>
      <c r="U48" s="1495"/>
      <c r="W48" s="1515" t="s">
        <v>806</v>
      </c>
      <c r="X48" s="1579">
        <v>18100</v>
      </c>
      <c r="Y48" s="1516" t="s">
        <v>806</v>
      </c>
      <c r="Z48" s="1579"/>
    </row>
    <row r="49" spans="2:26" x14ac:dyDescent="0.2">
      <c r="B49" s="1305" t="s">
        <v>1110</v>
      </c>
      <c r="C49" s="1534" t="str">
        <f>IF($C$4&lt;&gt;"dragende wanden","",VLOOKUP(B39,H20:M27,5,0))</f>
        <v/>
      </c>
      <c r="D49" s="1518" t="s">
        <v>269</v>
      </c>
      <c r="O49" s="1558"/>
      <c r="P49" s="1623"/>
      <c r="Q49" s="1623"/>
      <c r="R49" s="1560"/>
      <c r="S49" s="1623"/>
      <c r="T49" s="1623"/>
      <c r="U49" s="1623"/>
      <c r="W49" s="1515" t="s">
        <v>808</v>
      </c>
      <c r="X49" s="1579">
        <v>19800</v>
      </c>
      <c r="Y49" s="1516" t="s">
        <v>808</v>
      </c>
      <c r="Z49" s="1579"/>
    </row>
    <row r="50" spans="2:26" x14ac:dyDescent="0.2">
      <c r="B50" s="1305" t="s">
        <v>1108</v>
      </c>
      <c r="C50" s="1534" t="e">
        <f>C48+C49</f>
        <v>#VALUE!</v>
      </c>
      <c r="D50" s="1518" t="s">
        <v>269</v>
      </c>
      <c r="O50" s="1495"/>
      <c r="P50" s="1495"/>
      <c r="Q50" s="1495"/>
      <c r="R50" s="1622"/>
      <c r="S50" s="1531"/>
      <c r="T50" s="1495"/>
      <c r="U50" s="1495"/>
      <c r="W50" s="1515" t="s">
        <v>810</v>
      </c>
      <c r="X50" s="1579">
        <v>21800</v>
      </c>
      <c r="Y50" s="1516" t="s">
        <v>810</v>
      </c>
      <c r="Z50" s="1579"/>
    </row>
    <row r="51" spans="2:26" x14ac:dyDescent="0.2">
      <c r="B51" s="1305"/>
      <c r="C51" s="1534"/>
      <c r="D51" s="1518"/>
      <c r="O51" s="1495"/>
      <c r="P51" s="1495"/>
      <c r="Q51" s="1495"/>
      <c r="R51" s="1622"/>
      <c r="S51" s="1531"/>
      <c r="T51" s="1495"/>
      <c r="U51" s="1495"/>
      <c r="W51" s="1515" t="s">
        <v>812</v>
      </c>
      <c r="X51" s="1579">
        <v>23900</v>
      </c>
      <c r="Y51" s="1516" t="s">
        <v>812</v>
      </c>
      <c r="Z51" s="1579"/>
    </row>
    <row r="52" spans="2:26" x14ac:dyDescent="0.2">
      <c r="B52" s="1305" t="s">
        <v>980</v>
      </c>
      <c r="C52" s="1534">
        <f>IF(C12&gt;F38,G38,VLOOKUP(C12,F32:G38,2,0))</f>
        <v>0.7</v>
      </c>
      <c r="D52" s="1518"/>
      <c r="O52" s="1495"/>
      <c r="P52" s="1495"/>
      <c r="Q52" s="1495"/>
      <c r="R52" s="1622"/>
      <c r="S52" s="1531"/>
      <c r="T52" s="1495"/>
      <c r="U52" s="1495"/>
      <c r="W52" s="1515" t="s">
        <v>814</v>
      </c>
      <c r="X52" s="1579">
        <v>25400</v>
      </c>
      <c r="Y52" s="1516" t="s">
        <v>814</v>
      </c>
      <c r="Z52" s="1579"/>
    </row>
    <row r="53" spans="2:26" x14ac:dyDescent="0.2">
      <c r="B53" s="1519" t="s">
        <v>1107</v>
      </c>
      <c r="C53" s="1556" t="str">
        <f>IF($C$4&lt;&gt;"dragende wanden","",(C50*(C12)*C52))</f>
        <v/>
      </c>
      <c r="D53" s="1520" t="s">
        <v>269</v>
      </c>
      <c r="O53" s="1495"/>
      <c r="P53" s="1495"/>
      <c r="Q53" s="1495"/>
      <c r="R53" s="1622"/>
      <c r="S53" s="1531"/>
      <c r="T53" s="1495"/>
      <c r="U53" s="1495"/>
      <c r="W53" s="1515" t="s">
        <v>816</v>
      </c>
      <c r="X53" s="1579">
        <v>27000</v>
      </c>
      <c r="Y53" s="1516" t="s">
        <v>816</v>
      </c>
      <c r="Z53" s="1579"/>
    </row>
    <row r="54" spans="2:26" ht="13.5" thickBot="1" x14ac:dyDescent="0.25">
      <c r="C54" s="1303"/>
      <c r="D54" s="1303"/>
      <c r="O54" s="1495"/>
      <c r="P54" s="1495"/>
      <c r="Q54" s="1495"/>
      <c r="R54" s="1622"/>
      <c r="S54" s="1495"/>
      <c r="T54" s="1495"/>
      <c r="U54" s="1495"/>
      <c r="W54" s="1515" t="s">
        <v>818</v>
      </c>
      <c r="X54" s="1579">
        <v>28600</v>
      </c>
      <c r="Y54" s="1516" t="s">
        <v>818</v>
      </c>
      <c r="Z54" s="1579"/>
    </row>
    <row r="55" spans="2:26" ht="16.5" thickBot="1" x14ac:dyDescent="0.3">
      <c r="B55" s="805" t="s">
        <v>959</v>
      </c>
      <c r="C55" s="1496"/>
      <c r="D55" s="1497"/>
      <c r="O55" s="1495"/>
      <c r="P55" s="1622"/>
      <c r="Q55" s="1495"/>
      <c r="R55" s="1622"/>
      <c r="S55" s="1495"/>
      <c r="T55" s="1495"/>
      <c r="U55" s="1495"/>
      <c r="W55" s="1515" t="s">
        <v>819</v>
      </c>
      <c r="X55" s="1579">
        <v>30600</v>
      </c>
      <c r="Y55" s="1516" t="s">
        <v>819</v>
      </c>
      <c r="Z55" s="1579"/>
    </row>
    <row r="56" spans="2:26" x14ac:dyDescent="0.2">
      <c r="B56" s="1525" t="s">
        <v>962</v>
      </c>
      <c r="C56" s="1521" t="str">
        <f>IF($D$4="geschoord skelet",CONCATENATE($P$9,"x",$P$9),IF($D$4="ongeschoord skelet",CONCATENATE($S$9,"x",$S$9)))</f>
        <v>350x350</v>
      </c>
      <c r="D56" s="1595"/>
      <c r="O56" s="1558"/>
      <c r="P56" s="1558"/>
      <c r="Q56" s="1558"/>
      <c r="R56" s="1560"/>
      <c r="S56" s="1495"/>
      <c r="T56" s="1495"/>
      <c r="U56" s="1495"/>
      <c r="W56" s="1515" t="s">
        <v>821</v>
      </c>
      <c r="X56" s="1579">
        <v>33400</v>
      </c>
      <c r="Y56" s="1516" t="s">
        <v>821</v>
      </c>
      <c r="Z56" s="1579"/>
    </row>
    <row r="57" spans="2:26" x14ac:dyDescent="0.2">
      <c r="B57" s="1525" t="s">
        <v>963</v>
      </c>
      <c r="C57" s="1521" t="str">
        <f>IF($D$4="geschoord skelet",P21,IF($D$4="ongeschoord skelet",S21))</f>
        <v>maximum bereikt</v>
      </c>
      <c r="D57" s="1518"/>
      <c r="O57" s="1560"/>
      <c r="P57" s="1559"/>
      <c r="Q57" s="1559"/>
      <c r="R57" s="1697"/>
      <c r="S57" s="1495"/>
      <c r="T57" s="1495"/>
      <c r="U57" s="1495"/>
      <c r="W57" s="1515" t="s">
        <v>823</v>
      </c>
      <c r="X57" s="1579">
        <v>37100</v>
      </c>
      <c r="Y57" s="1516" t="s">
        <v>823</v>
      </c>
      <c r="Z57" s="1579"/>
    </row>
    <row r="58" spans="2:26" x14ac:dyDescent="0.2">
      <c r="B58" s="1525" t="s">
        <v>965</v>
      </c>
      <c r="C58" s="1521" t="e">
        <f>IF($D$4="geschoord skelet",P28,IF($D$4="ongeschoord skelet",S28))</f>
        <v>#N/A</v>
      </c>
      <c r="D58" s="1518"/>
      <c r="O58" s="1560"/>
      <c r="P58" s="1559"/>
      <c r="Q58" s="1559"/>
      <c r="R58" s="1697"/>
      <c r="S58" s="1495"/>
      <c r="T58" s="1495"/>
      <c r="U58" s="1495"/>
      <c r="W58" s="1515" t="s">
        <v>824</v>
      </c>
      <c r="X58" s="1579">
        <v>40000</v>
      </c>
      <c r="Y58" s="1516" t="s">
        <v>824</v>
      </c>
      <c r="Z58" s="1579"/>
    </row>
    <row r="59" spans="2:26" x14ac:dyDescent="0.2">
      <c r="B59" s="1305"/>
      <c r="D59" s="1518"/>
      <c r="O59" s="1495"/>
      <c r="P59" s="1495"/>
      <c r="Q59" s="1495"/>
      <c r="R59" s="1622"/>
      <c r="S59" s="1495"/>
      <c r="T59" s="1495"/>
      <c r="U59" s="1495"/>
      <c r="W59" s="1515" t="s">
        <v>924</v>
      </c>
      <c r="X59" s="1579">
        <v>999999</v>
      </c>
      <c r="Y59" s="1516" t="s">
        <v>924</v>
      </c>
      <c r="Z59" s="1579"/>
    </row>
    <row r="60" spans="2:26" x14ac:dyDescent="0.2">
      <c r="B60" s="1586" t="s">
        <v>220</v>
      </c>
      <c r="C60" s="1596"/>
      <c r="D60" s="1597"/>
      <c r="O60" s="1495"/>
      <c r="P60" s="1622"/>
      <c r="Q60" s="1495"/>
      <c r="R60" s="1622"/>
      <c r="S60" s="1495"/>
      <c r="T60" s="1495"/>
      <c r="U60" s="1495"/>
      <c r="W60" s="1544"/>
      <c r="X60" s="1545"/>
      <c r="Y60" s="1546"/>
      <c r="Z60" s="1607"/>
    </row>
    <row r="61" spans="2:26" x14ac:dyDescent="0.2">
      <c r="B61" s="1305" t="s">
        <v>617</v>
      </c>
      <c r="C61" s="1534">
        <f>IF(AND(D4=B60,B61=C25),P14,0)</f>
        <v>0</v>
      </c>
      <c r="D61" s="1591" t="s">
        <v>67</v>
      </c>
      <c r="O61" s="1558"/>
      <c r="P61" s="1558"/>
      <c r="Q61" s="1558"/>
      <c r="R61" s="1560"/>
      <c r="S61" s="1495"/>
      <c r="T61" s="1495"/>
      <c r="U61" s="1495"/>
      <c r="V61" s="1092"/>
      <c r="W61" s="1550" t="s">
        <v>930</v>
      </c>
      <c r="X61" s="1551"/>
      <c r="Y61" s="1552"/>
      <c r="Z61" s="1617"/>
    </row>
    <row r="62" spans="2:26" x14ac:dyDescent="0.2">
      <c r="B62" s="1305" t="s">
        <v>88</v>
      </c>
      <c r="C62" s="1534">
        <f>IF(AND(D4=B60,C25=B62),P14,0)</f>
        <v>52.42903661833374</v>
      </c>
      <c r="D62" s="1591" t="s">
        <v>67</v>
      </c>
      <c r="O62" s="1560"/>
      <c r="P62" s="1559"/>
      <c r="Q62" s="1559"/>
      <c r="R62" s="1697"/>
      <c r="S62" s="1495"/>
      <c r="T62" s="1495"/>
      <c r="U62" s="1495"/>
      <c r="V62" s="1092"/>
      <c r="W62" s="1509"/>
      <c r="X62" s="1510" t="s">
        <v>234</v>
      </c>
      <c r="Y62" s="1511"/>
      <c r="Z62" s="1748"/>
    </row>
    <row r="63" spans="2:26" x14ac:dyDescent="0.2">
      <c r="B63" s="1305" t="s">
        <v>91</v>
      </c>
      <c r="C63" s="1534">
        <f>IF(C62&lt;&gt;0,P15,IF(C61&lt;&gt;0,P15,0))</f>
        <v>2.5819562073050624</v>
      </c>
      <c r="D63" s="1591" t="s">
        <v>67</v>
      </c>
      <c r="O63" s="1560"/>
      <c r="P63" s="1559"/>
      <c r="Q63" s="1559"/>
      <c r="R63" s="1697"/>
      <c r="S63" s="1495"/>
      <c r="T63" s="1495"/>
      <c r="U63" s="1495"/>
      <c r="V63" s="1092"/>
      <c r="W63" s="1512"/>
      <c r="X63" s="1513" t="s">
        <v>662</v>
      </c>
      <c r="Y63" s="1514"/>
      <c r="Z63" s="1748"/>
    </row>
    <row r="64" spans="2:26" x14ac:dyDescent="0.2">
      <c r="B64" s="1305" t="s">
        <v>216</v>
      </c>
      <c r="C64" s="1534">
        <f>IF(AND(D4=B60,C25=B64),P23,0)</f>
        <v>0</v>
      </c>
      <c r="D64" s="1591" t="s">
        <v>67</v>
      </c>
      <c r="O64" s="1495"/>
      <c r="P64" s="1495"/>
      <c r="Q64" s="1495"/>
      <c r="R64" s="1622"/>
      <c r="S64" s="1495"/>
      <c r="T64" s="1495"/>
      <c r="U64" s="1495"/>
      <c r="V64" s="1092"/>
      <c r="W64" s="1515" t="s">
        <v>931</v>
      </c>
      <c r="X64" s="1579">
        <v>541</v>
      </c>
      <c r="Y64" s="1516" t="s">
        <v>931</v>
      </c>
      <c r="Z64" s="1515" t="s">
        <v>52</v>
      </c>
    </row>
    <row r="65" spans="2:34" x14ac:dyDescent="0.2">
      <c r="B65" s="1305" t="s">
        <v>217</v>
      </c>
      <c r="C65" s="1534">
        <f>IF(AND(D4=B60,C25=B65),P23,0)</f>
        <v>0</v>
      </c>
      <c r="D65" s="1591" t="s">
        <v>67</v>
      </c>
      <c r="O65" s="1495"/>
      <c r="P65" s="1495"/>
      <c r="Q65" s="1531"/>
      <c r="R65" s="1698"/>
      <c r="S65" s="1495"/>
      <c r="T65" s="1495"/>
      <c r="U65" s="1495"/>
      <c r="V65" s="1092"/>
      <c r="W65" s="1515" t="s">
        <v>932</v>
      </c>
      <c r="X65" s="1579">
        <v>661</v>
      </c>
      <c r="Y65" s="1516" t="s">
        <v>932</v>
      </c>
      <c r="Z65" s="1515" t="s">
        <v>52</v>
      </c>
    </row>
    <row r="66" spans="2:34" x14ac:dyDescent="0.2">
      <c r="B66" s="1305" t="s">
        <v>766</v>
      </c>
      <c r="C66" s="1534">
        <f>IF(AND(D4=B60,C25=B66),P23,0)</f>
        <v>0</v>
      </c>
      <c r="D66" s="1591" t="s">
        <v>67</v>
      </c>
      <c r="O66" s="1558"/>
      <c r="P66" s="1625"/>
      <c r="Q66" s="1558"/>
      <c r="R66" s="1560"/>
      <c r="S66" s="1495"/>
      <c r="T66" s="1495"/>
      <c r="U66" s="1495"/>
      <c r="W66" s="1515" t="s">
        <v>933</v>
      </c>
      <c r="X66" s="1579">
        <v>1015</v>
      </c>
      <c r="Y66" s="1516" t="s">
        <v>933</v>
      </c>
      <c r="Z66" s="1515" t="s">
        <v>52</v>
      </c>
    </row>
    <row r="67" spans="2:34" x14ac:dyDescent="0.2">
      <c r="B67" s="1305" t="s">
        <v>368</v>
      </c>
      <c r="C67" s="1534">
        <f>IF(AND(D4=B60,C25=B67),P30,0)</f>
        <v>0</v>
      </c>
      <c r="D67" s="1591" t="s">
        <v>67</v>
      </c>
      <c r="O67" s="1558"/>
      <c r="P67" s="1625"/>
      <c r="Q67" s="1558"/>
      <c r="R67" s="1560"/>
      <c r="S67" s="1625"/>
      <c r="T67" s="1495"/>
      <c r="U67" s="1495"/>
      <c r="W67" s="1515" t="s">
        <v>934</v>
      </c>
      <c r="X67" s="1579">
        <v>1175</v>
      </c>
      <c r="Y67" s="1516" t="s">
        <v>934</v>
      </c>
      <c r="Z67" s="1515" t="s">
        <v>52</v>
      </c>
    </row>
    <row r="68" spans="2:34" x14ac:dyDescent="0.2">
      <c r="B68" s="1305" t="s">
        <v>376</v>
      </c>
      <c r="C68" s="1534">
        <f>IF(AND(D4=B60,C25=B68),P30,0)</f>
        <v>0</v>
      </c>
      <c r="D68" s="1591" t="s">
        <v>67</v>
      </c>
      <c r="W68" s="1515" t="s">
        <v>935</v>
      </c>
      <c r="X68" s="1579">
        <v>1636</v>
      </c>
      <c r="Y68" s="1516" t="s">
        <v>935</v>
      </c>
      <c r="Z68" s="1515" t="s">
        <v>52</v>
      </c>
    </row>
    <row r="69" spans="2:34" x14ac:dyDescent="0.2">
      <c r="B69" s="1586" t="s">
        <v>221</v>
      </c>
      <c r="C69" s="1596"/>
      <c r="D69" s="1597"/>
      <c r="W69" s="1515" t="s">
        <v>936</v>
      </c>
      <c r="X69" s="1579">
        <v>2163</v>
      </c>
      <c r="Y69" s="1516" t="s">
        <v>936</v>
      </c>
      <c r="Z69" s="1515" t="s">
        <v>52</v>
      </c>
    </row>
    <row r="70" spans="2:34" x14ac:dyDescent="0.2">
      <c r="B70" s="1305" t="s">
        <v>617</v>
      </c>
      <c r="C70" s="1534">
        <f>IF(AND(D4=B69,C25=B70),S14,0)</f>
        <v>0</v>
      </c>
      <c r="D70" s="1591" t="s">
        <v>67</v>
      </c>
      <c r="V70" s="1092"/>
      <c r="W70" s="1515" t="s">
        <v>1221</v>
      </c>
      <c r="X70" s="1579">
        <v>999999</v>
      </c>
      <c r="Y70" s="1516" t="s">
        <v>1221</v>
      </c>
    </row>
    <row r="71" spans="2:34" ht="12.75" customHeight="1" x14ac:dyDescent="0.2">
      <c r="B71" s="1305" t="s">
        <v>88</v>
      </c>
      <c r="C71" s="1534">
        <f>IF(AND(D4=B69,C25=B71),S14,0)</f>
        <v>0</v>
      </c>
      <c r="D71" s="1591" t="s">
        <v>67</v>
      </c>
      <c r="V71" s="1092"/>
      <c r="W71" s="1515" t="s">
        <v>937</v>
      </c>
      <c r="X71" s="1579">
        <v>537</v>
      </c>
      <c r="Y71" s="1516" t="s">
        <v>937</v>
      </c>
      <c r="Z71" s="1515" t="s">
        <v>1196</v>
      </c>
      <c r="AC71" s="1092"/>
      <c r="AD71" s="1092"/>
      <c r="AE71" s="1092"/>
      <c r="AF71" s="1092"/>
      <c r="AG71" s="1092"/>
      <c r="AH71" s="1092"/>
    </row>
    <row r="72" spans="2:34" x14ac:dyDescent="0.2">
      <c r="B72" s="1305" t="s">
        <v>91</v>
      </c>
      <c r="C72" s="1534">
        <f>IF(C71&lt;&gt;0,S15,IF(C70&lt;&gt;0,S15,0))</f>
        <v>0</v>
      </c>
      <c r="D72" s="1591" t="s">
        <v>67</v>
      </c>
      <c r="V72" s="1092"/>
      <c r="W72" s="1515" t="s">
        <v>938</v>
      </c>
      <c r="X72" s="1579">
        <v>879</v>
      </c>
      <c r="Y72" s="1516" t="s">
        <v>938</v>
      </c>
      <c r="Z72" s="1515" t="s">
        <v>1196</v>
      </c>
      <c r="AF72" s="1092"/>
      <c r="AG72" s="1092"/>
      <c r="AH72" s="1092"/>
    </row>
    <row r="73" spans="2:34" x14ac:dyDescent="0.2">
      <c r="B73" s="1305" t="s">
        <v>216</v>
      </c>
      <c r="C73" s="1534">
        <f>IF(AND(D4=B69,C25=B73),S23,0)</f>
        <v>0</v>
      </c>
      <c r="D73" s="1591" t="s">
        <v>67</v>
      </c>
      <c r="V73" s="1092"/>
      <c r="W73" s="1515" t="s">
        <v>939</v>
      </c>
      <c r="X73" s="1579">
        <v>1039</v>
      </c>
      <c r="Y73" s="1516" t="s">
        <v>939</v>
      </c>
      <c r="Z73" s="1515" t="s">
        <v>1196</v>
      </c>
      <c r="AF73" s="1092"/>
      <c r="AG73" s="1092"/>
      <c r="AH73" s="1092"/>
    </row>
    <row r="74" spans="2:34" x14ac:dyDescent="0.2">
      <c r="B74" s="1305" t="s">
        <v>217</v>
      </c>
      <c r="C74" s="1534">
        <f>IF(AND(D4=B69,C25=B74),S23,0)</f>
        <v>0</v>
      </c>
      <c r="D74" s="1591" t="s">
        <v>67</v>
      </c>
      <c r="V74" s="1092"/>
      <c r="W74" s="1515" t="s">
        <v>940</v>
      </c>
      <c r="X74" s="1579">
        <v>1199</v>
      </c>
      <c r="Y74" s="1516" t="s">
        <v>940</v>
      </c>
      <c r="Z74" s="1515" t="s">
        <v>1196</v>
      </c>
      <c r="AF74" s="1092"/>
      <c r="AG74" s="1092"/>
      <c r="AH74" s="1092"/>
    </row>
    <row r="75" spans="2:34" x14ac:dyDescent="0.2">
      <c r="B75" s="1305" t="s">
        <v>766</v>
      </c>
      <c r="C75" s="1534">
        <f>IF(AND(D4=B69,C25=B75),S23,0)</f>
        <v>0</v>
      </c>
      <c r="D75" s="1591" t="s">
        <v>67</v>
      </c>
      <c r="V75" s="1092"/>
      <c r="W75" s="1515" t="s">
        <v>941</v>
      </c>
      <c r="X75" s="1579">
        <v>1673</v>
      </c>
      <c r="Y75" s="1516" t="s">
        <v>941</v>
      </c>
      <c r="Z75" s="1515" t="s">
        <v>1196</v>
      </c>
      <c r="AF75" s="1092"/>
      <c r="AG75" s="1092"/>
      <c r="AH75" s="1092"/>
    </row>
    <row r="76" spans="2:34" x14ac:dyDescent="0.2">
      <c r="B76" s="1305" t="s">
        <v>368</v>
      </c>
      <c r="C76" s="1534">
        <f>IF(AND(D4=B69,C25=B76),S30,0)</f>
        <v>0</v>
      </c>
      <c r="D76" s="1591" t="s">
        <v>67</v>
      </c>
      <c r="V76" s="1092"/>
      <c r="W76" s="1515" t="s">
        <v>942</v>
      </c>
      <c r="X76" s="1579">
        <v>2319</v>
      </c>
      <c r="Y76" s="1516" t="s">
        <v>942</v>
      </c>
      <c r="Z76" s="1515" t="s">
        <v>1196</v>
      </c>
      <c r="AF76" s="1092"/>
      <c r="AG76" s="1092"/>
      <c r="AH76" s="1092"/>
    </row>
    <row r="77" spans="2:34" x14ac:dyDescent="0.2">
      <c r="B77" s="1519" t="s">
        <v>376</v>
      </c>
      <c r="C77" s="1556">
        <f>IF(AND(D4=B69,C25=B77),S30,0)</f>
        <v>0</v>
      </c>
      <c r="D77" s="1593" t="s">
        <v>67</v>
      </c>
      <c r="V77" s="1092"/>
      <c r="W77" s="1515" t="s">
        <v>943</v>
      </c>
      <c r="X77" s="1579">
        <v>2236</v>
      </c>
      <c r="Y77" s="1516" t="s">
        <v>943</v>
      </c>
      <c r="Z77" s="1515" t="s">
        <v>1196</v>
      </c>
      <c r="AF77" s="1092"/>
      <c r="AG77" s="1092"/>
      <c r="AH77" s="1092"/>
    </row>
    <row r="78" spans="2:34" ht="13.5" thickBot="1" x14ac:dyDescent="0.25">
      <c r="V78" s="1092"/>
      <c r="W78" s="1515" t="s">
        <v>944</v>
      </c>
      <c r="X78" s="1579">
        <v>3123</v>
      </c>
      <c r="Y78" s="1516" t="s">
        <v>944</v>
      </c>
      <c r="Z78" s="1515" t="s">
        <v>1196</v>
      </c>
      <c r="AF78" s="1092"/>
      <c r="AG78" s="1092"/>
      <c r="AH78" s="1092"/>
    </row>
    <row r="79" spans="2:34" ht="16.5" thickBot="1" x14ac:dyDescent="0.3">
      <c r="B79" s="805" t="s">
        <v>960</v>
      </c>
      <c r="C79" s="1496"/>
      <c r="D79" s="1497"/>
      <c r="V79" s="1092"/>
      <c r="W79" s="1515" t="s">
        <v>945</v>
      </c>
      <c r="X79" s="1579">
        <v>3363</v>
      </c>
      <c r="Y79" s="1516" t="s">
        <v>945</v>
      </c>
      <c r="Z79" s="1515" t="s">
        <v>1196</v>
      </c>
      <c r="AF79" s="1092"/>
      <c r="AG79" s="1092"/>
      <c r="AH79" s="1092"/>
    </row>
    <row r="80" spans="2:34" x14ac:dyDescent="0.2">
      <c r="B80" s="1543" t="s">
        <v>219</v>
      </c>
      <c r="C80" s="1598"/>
      <c r="D80" s="1599"/>
      <c r="V80" s="1092"/>
      <c r="W80" s="1515" t="s">
        <v>946</v>
      </c>
      <c r="X80" s="1579">
        <v>3603</v>
      </c>
      <c r="Y80" s="1516" t="s">
        <v>946</v>
      </c>
      <c r="Z80" s="1515" t="s">
        <v>1196</v>
      </c>
      <c r="AF80" s="1092"/>
      <c r="AG80" s="1092"/>
      <c r="AH80" s="1092"/>
    </row>
    <row r="81" spans="2:34" x14ac:dyDescent="0.2">
      <c r="B81" s="1604" t="s">
        <v>615</v>
      </c>
      <c r="C81" s="1627" t="str">
        <f>IF($C$4&lt;&gt;"dragende wanden","",IF(VLOOKUP(C38,AB5:AC10,2,0)&lt;150,150,VLOOKUP(C38,AB5:AC10,2,0)))</f>
        <v/>
      </c>
      <c r="D81" s="1630" t="s">
        <v>130</v>
      </c>
      <c r="V81" s="1092"/>
      <c r="W81" s="1515" t="s">
        <v>947</v>
      </c>
      <c r="X81" s="1579">
        <v>5284</v>
      </c>
      <c r="Y81" s="1516" t="s">
        <v>947</v>
      </c>
      <c r="Z81" s="1515" t="s">
        <v>1196</v>
      </c>
      <c r="AF81" s="1092"/>
      <c r="AG81" s="1092"/>
      <c r="AH81" s="1092"/>
    </row>
    <row r="82" spans="2:34" x14ac:dyDescent="0.2">
      <c r="B82" s="1305"/>
      <c r="C82" s="1494"/>
      <c r="D82" s="1518"/>
      <c r="V82" s="1092"/>
      <c r="W82" s="1515" t="s">
        <v>948</v>
      </c>
      <c r="X82" s="1579">
        <v>5924</v>
      </c>
      <c r="Y82" s="1516" t="s">
        <v>948</v>
      </c>
      <c r="Z82" s="1515" t="s">
        <v>1196</v>
      </c>
      <c r="AF82" s="1092"/>
      <c r="AG82" s="1092"/>
      <c r="AH82" s="1092"/>
    </row>
    <row r="83" spans="2:34" x14ac:dyDescent="0.2">
      <c r="B83" s="1305" t="s">
        <v>487</v>
      </c>
      <c r="C83" s="1557">
        <f>IF(AND(C4=B80,C38=B83),AE5,0)</f>
        <v>0</v>
      </c>
      <c r="D83" s="1594" t="s">
        <v>67</v>
      </c>
      <c r="V83" s="1092"/>
      <c r="W83" s="1515" t="s">
        <v>949</v>
      </c>
      <c r="X83" s="1579">
        <v>6564</v>
      </c>
      <c r="Y83" s="1516" t="s">
        <v>949</v>
      </c>
      <c r="Z83" s="1515" t="s">
        <v>1196</v>
      </c>
      <c r="AF83" s="1092"/>
      <c r="AG83" s="1092"/>
      <c r="AH83" s="1092"/>
    </row>
    <row r="84" spans="2:34" x14ac:dyDescent="0.2">
      <c r="B84" s="1305" t="s">
        <v>488</v>
      </c>
      <c r="C84" s="1557">
        <f>IF(AND(C4=B80,C38=B84),AE6,0)</f>
        <v>0</v>
      </c>
      <c r="D84" s="1594" t="s">
        <v>67</v>
      </c>
      <c r="V84" s="1092"/>
      <c r="W84" s="1515" t="s">
        <v>950</v>
      </c>
      <c r="X84" s="1579">
        <v>7524</v>
      </c>
      <c r="Y84" s="1516" t="s">
        <v>950</v>
      </c>
      <c r="Z84" s="1515" t="s">
        <v>1196</v>
      </c>
      <c r="AF84" s="1092"/>
      <c r="AG84" s="1092"/>
      <c r="AH84" s="1092"/>
    </row>
    <row r="85" spans="2:34" x14ac:dyDescent="0.2">
      <c r="B85" s="1524" t="s">
        <v>489</v>
      </c>
      <c r="C85" s="1557">
        <f>IF(AND(C4=B80,C38=B85),AE7,0)</f>
        <v>0</v>
      </c>
      <c r="D85" s="1594" t="s">
        <v>67</v>
      </c>
      <c r="V85" s="1092"/>
      <c r="W85" s="1515" t="s">
        <v>951</v>
      </c>
      <c r="X85" s="1579">
        <v>9124</v>
      </c>
      <c r="Y85" s="1516" t="s">
        <v>951</v>
      </c>
      <c r="Z85" s="1515" t="s">
        <v>1196</v>
      </c>
      <c r="AF85" s="1092"/>
      <c r="AG85" s="1092"/>
      <c r="AH85" s="1092"/>
    </row>
    <row r="86" spans="2:34" x14ac:dyDescent="0.2">
      <c r="B86" s="1305" t="s">
        <v>88</v>
      </c>
      <c r="C86" s="1557">
        <f>IF(AND(C4=B80,C38=B86),AE8,0)</f>
        <v>0</v>
      </c>
      <c r="D86" s="1594" t="s">
        <v>67</v>
      </c>
      <c r="V86" s="1092"/>
      <c r="W86" s="1515" t="s">
        <v>952</v>
      </c>
      <c r="X86" s="1579">
        <v>13257</v>
      </c>
      <c r="Y86" s="1516" t="s">
        <v>952</v>
      </c>
      <c r="Z86" s="1515" t="s">
        <v>1196</v>
      </c>
      <c r="AF86" s="1092"/>
      <c r="AG86" s="1092"/>
      <c r="AH86" s="1092"/>
    </row>
    <row r="87" spans="2:34" x14ac:dyDescent="0.2">
      <c r="B87" s="1305" t="s">
        <v>617</v>
      </c>
      <c r="C87" s="1557">
        <f>IF(AND(C4=B80,C38=B87),AE9,0)</f>
        <v>0</v>
      </c>
      <c r="D87" s="1594" t="s">
        <v>67</v>
      </c>
      <c r="V87" s="1092"/>
      <c r="W87" s="1515" t="s">
        <v>953</v>
      </c>
      <c r="X87" s="1579">
        <v>15257</v>
      </c>
      <c r="Y87" s="1516" t="s">
        <v>953</v>
      </c>
      <c r="Z87" s="1515" t="s">
        <v>1196</v>
      </c>
      <c r="AF87" s="1092"/>
      <c r="AG87" s="1092"/>
      <c r="AH87" s="1092"/>
    </row>
    <row r="88" spans="2:34" x14ac:dyDescent="0.2">
      <c r="B88" s="1305" t="s">
        <v>91</v>
      </c>
      <c r="C88" s="1557">
        <f>IF(C86&lt;&gt;0,AI9,IF(C87&lt;&gt;0,AI8,0))</f>
        <v>0</v>
      </c>
      <c r="D88" s="1594" t="s">
        <v>67</v>
      </c>
      <c r="V88" s="1092"/>
      <c r="W88" s="1515" t="s">
        <v>924</v>
      </c>
      <c r="X88" s="1579">
        <v>999999</v>
      </c>
      <c r="Y88" s="1516" t="s">
        <v>924</v>
      </c>
      <c r="Z88" s="1579"/>
      <c r="AF88" s="1092"/>
      <c r="AG88" s="1092"/>
      <c r="AH88" s="1092"/>
    </row>
    <row r="89" spans="2:34" ht="13.5" thickBot="1" x14ac:dyDescent="0.25">
      <c r="B89" s="1305" t="s">
        <v>368</v>
      </c>
      <c r="C89" s="1557" t="b">
        <f>IF(AND(C4=B80,C38="houtskeletbouw"),AC14)</f>
        <v>0</v>
      </c>
      <c r="D89" s="1592" t="s">
        <v>67</v>
      </c>
      <c r="V89" s="1092"/>
      <c r="W89" s="1800"/>
      <c r="X89" s="1801"/>
      <c r="Y89" s="1802"/>
      <c r="AB89" s="1092"/>
      <c r="AF89" s="1092"/>
      <c r="AG89" s="1092"/>
      <c r="AH89" s="1092"/>
    </row>
    <row r="90" spans="2:34" ht="13.5" thickBot="1" x14ac:dyDescent="0.25">
      <c r="B90" s="1525" t="s">
        <v>378</v>
      </c>
      <c r="C90" s="1557" t="b">
        <f>IF(AND(C4=B80,C38="houtskeletbouw"),AK34)</f>
        <v>0</v>
      </c>
      <c r="D90" s="1592" t="s">
        <v>67</v>
      </c>
      <c r="V90" s="1092"/>
      <c r="W90" s="1502" t="s">
        <v>977</v>
      </c>
      <c r="X90" s="1503"/>
      <c r="Y90" s="1504"/>
      <c r="Z90" s="1567"/>
      <c r="AB90" s="1092"/>
      <c r="AF90" s="1092"/>
      <c r="AG90" s="1092"/>
      <c r="AH90" s="1092"/>
    </row>
    <row r="91" spans="2:34" ht="15" customHeight="1" x14ac:dyDescent="0.2">
      <c r="B91" s="1540"/>
      <c r="C91" s="1631"/>
      <c r="D91" s="1632"/>
      <c r="V91" s="1092"/>
      <c r="W91" s="1618" t="s">
        <v>978</v>
      </c>
      <c r="X91" s="1616"/>
      <c r="Y91" s="1619"/>
      <c r="Z91" s="1617"/>
      <c r="AB91" s="1092"/>
      <c r="AF91" s="1092"/>
      <c r="AG91" s="1092"/>
      <c r="AH91" s="1092"/>
    </row>
    <row r="92" spans="2:34" x14ac:dyDescent="0.2">
      <c r="V92" s="1092"/>
      <c r="W92" s="1509"/>
      <c r="X92" s="1510" t="s">
        <v>234</v>
      </c>
      <c r="Y92" s="1511"/>
      <c r="Z92" s="1748"/>
      <c r="AB92" s="1092"/>
      <c r="AF92" s="1092"/>
      <c r="AG92" s="1092"/>
      <c r="AH92" s="1092"/>
    </row>
    <row r="93" spans="2:34" x14ac:dyDescent="0.2">
      <c r="C93" s="1303"/>
      <c r="D93" s="1303"/>
      <c r="N93" s="1495"/>
      <c r="V93" s="1092"/>
      <c r="W93" s="1512"/>
      <c r="X93" s="1513" t="s">
        <v>662</v>
      </c>
      <c r="Y93" s="1514"/>
      <c r="Z93" s="1748"/>
      <c r="AB93" s="1092"/>
      <c r="AF93" s="1092"/>
      <c r="AG93" s="1092"/>
      <c r="AH93" s="1092"/>
    </row>
    <row r="94" spans="2:34" x14ac:dyDescent="0.2">
      <c r="C94" s="1303"/>
      <c r="D94" s="1303"/>
      <c r="N94" s="1495"/>
      <c r="V94" s="1092"/>
      <c r="W94" s="1305" t="s">
        <v>1097</v>
      </c>
      <c r="X94" s="1579">
        <f>160*160</f>
        <v>25600</v>
      </c>
      <c r="Y94" s="1306" t="s">
        <v>1097</v>
      </c>
      <c r="Z94" s="1495"/>
      <c r="AB94" s="1092"/>
      <c r="AF94" s="1092"/>
      <c r="AG94" s="1092"/>
      <c r="AH94" s="1092"/>
    </row>
    <row r="95" spans="2:34" x14ac:dyDescent="0.2">
      <c r="B95" s="1092"/>
      <c r="C95" s="1092"/>
      <c r="D95" s="1092"/>
      <c r="N95" s="1495"/>
      <c r="V95" s="1566"/>
      <c r="W95" s="1305" t="s">
        <v>1098</v>
      </c>
      <c r="X95" s="1579">
        <f>180*180</f>
        <v>32400</v>
      </c>
      <c r="Y95" s="1306" t="s">
        <v>1098</v>
      </c>
      <c r="Z95" s="1495"/>
      <c r="AB95" s="1092"/>
      <c r="AF95" s="1092"/>
      <c r="AG95" s="1092"/>
      <c r="AH95" s="1092"/>
    </row>
    <row r="96" spans="2:34" x14ac:dyDescent="0.2">
      <c r="B96" s="1092"/>
      <c r="C96" s="1092"/>
      <c r="D96" s="1092"/>
      <c r="N96" s="1495"/>
      <c r="V96" s="1566"/>
      <c r="W96" s="1305" t="s">
        <v>1099</v>
      </c>
      <c r="X96" s="1579">
        <f>200*200</f>
        <v>40000</v>
      </c>
      <c r="Y96" s="1306" t="s">
        <v>1099</v>
      </c>
      <c r="Z96" s="1495"/>
      <c r="AB96" s="1566"/>
      <c r="AF96" s="1092"/>
      <c r="AG96" s="1092"/>
      <c r="AH96" s="1092"/>
    </row>
    <row r="97" spans="2:34" x14ac:dyDescent="0.2">
      <c r="B97" s="1092"/>
      <c r="C97" s="1092"/>
      <c r="D97" s="1092"/>
      <c r="N97" s="1495"/>
      <c r="V97" s="1566"/>
      <c r="W97" s="1305" t="s">
        <v>1100</v>
      </c>
      <c r="X97" s="1579">
        <f>200*320</f>
        <v>64000</v>
      </c>
      <c r="Y97" s="1306" t="s">
        <v>1100</v>
      </c>
      <c r="Z97" s="1495"/>
      <c r="AB97" s="1566"/>
      <c r="AF97" s="1092"/>
      <c r="AG97" s="1092"/>
      <c r="AH97" s="1092"/>
    </row>
    <row r="98" spans="2:34" x14ac:dyDescent="0.2">
      <c r="C98" s="1303"/>
      <c r="D98" s="1303"/>
      <c r="N98" s="1495"/>
      <c r="O98" s="1495"/>
      <c r="P98" s="1495"/>
      <c r="Q98" s="1495"/>
      <c r="R98" s="1622"/>
      <c r="S98" s="1568"/>
      <c r="T98" s="1568"/>
      <c r="U98" s="1568"/>
      <c r="V98" s="1566"/>
      <c r="W98" s="1305" t="s">
        <v>1101</v>
      </c>
      <c r="X98" s="1579">
        <f>200*400</f>
        <v>80000</v>
      </c>
      <c r="Y98" s="1306" t="s">
        <v>1101</v>
      </c>
      <c r="Z98" s="1495"/>
      <c r="AB98" s="1566"/>
      <c r="AF98" s="1092"/>
      <c r="AG98" s="1092"/>
      <c r="AH98" s="1092"/>
    </row>
    <row r="99" spans="2:34" x14ac:dyDescent="0.2">
      <c r="C99" s="1303"/>
      <c r="D99" s="1303"/>
      <c r="N99" s="1495"/>
      <c r="O99" s="1495"/>
      <c r="P99" s="1495"/>
      <c r="Q99" s="1495"/>
      <c r="R99" s="1622"/>
      <c r="S99" s="1568"/>
      <c r="T99" s="1568"/>
      <c r="U99" s="1568"/>
      <c r="V99" s="1566"/>
      <c r="W99" s="1515" t="s">
        <v>924</v>
      </c>
      <c r="X99" s="1579">
        <v>999999</v>
      </c>
      <c r="Y99" s="1516" t="s">
        <v>924</v>
      </c>
      <c r="Z99" s="1579"/>
      <c r="AB99" s="1566"/>
      <c r="AF99" s="1092"/>
      <c r="AG99" s="1092"/>
      <c r="AH99" s="1092"/>
    </row>
    <row r="100" spans="2:34" x14ac:dyDescent="0.2">
      <c r="C100" s="1303"/>
      <c r="D100" s="1303"/>
      <c r="N100" s="1495"/>
      <c r="O100" s="1495"/>
      <c r="P100" s="1495"/>
      <c r="Q100" s="1495"/>
      <c r="R100" s="1622"/>
      <c r="S100" s="1568"/>
      <c r="T100" s="1568"/>
      <c r="U100" s="1568"/>
      <c r="V100" s="1567"/>
      <c r="W100" s="1580"/>
      <c r="X100" s="1581"/>
      <c r="Y100" s="1582"/>
      <c r="Z100" s="1579"/>
      <c r="AB100" s="1566"/>
      <c r="AF100" s="1092"/>
      <c r="AG100" s="1092"/>
      <c r="AH100" s="1092"/>
    </row>
    <row r="101" spans="2:34" x14ac:dyDescent="0.2">
      <c r="N101" s="1495"/>
      <c r="O101" s="1495"/>
      <c r="P101" s="1495"/>
      <c r="Q101" s="1495"/>
      <c r="R101" s="1622"/>
      <c r="S101" s="1568"/>
      <c r="T101" s="1568"/>
      <c r="U101" s="1568"/>
      <c r="V101" s="1566"/>
      <c r="W101" s="1618" t="s">
        <v>979</v>
      </c>
      <c r="X101" s="1616"/>
      <c r="Y101" s="1619"/>
      <c r="Z101" s="1617"/>
      <c r="AB101" s="1566"/>
      <c r="AF101" s="1092"/>
      <c r="AG101" s="1092"/>
      <c r="AH101" s="1092"/>
    </row>
    <row r="102" spans="2:34" x14ac:dyDescent="0.2">
      <c r="C102" s="1303"/>
      <c r="D102" s="1303"/>
      <c r="N102" s="1495"/>
      <c r="O102" s="1567"/>
      <c r="P102" s="1568"/>
      <c r="Q102" s="1568"/>
      <c r="R102" s="1699"/>
      <c r="S102" s="1568"/>
      <c r="T102" s="1568"/>
      <c r="U102" s="1568"/>
      <c r="V102" s="1566"/>
      <c r="W102" s="1509"/>
      <c r="X102" s="1510" t="s">
        <v>234</v>
      </c>
      <c r="Y102" s="1511"/>
      <c r="Z102" s="1748"/>
      <c r="AB102" s="1566"/>
      <c r="AF102" s="1092"/>
      <c r="AG102" s="1092"/>
      <c r="AH102" s="1092"/>
    </row>
    <row r="103" spans="2:34" x14ac:dyDescent="0.2">
      <c r="C103" s="1303"/>
      <c r="D103" s="1303"/>
      <c r="N103" s="1495"/>
      <c r="O103" s="1567"/>
      <c r="P103" s="1568"/>
      <c r="Q103" s="1568"/>
      <c r="R103" s="1699"/>
      <c r="S103" s="1568"/>
      <c r="T103" s="1568"/>
      <c r="U103" s="1568"/>
      <c r="V103" s="1566"/>
      <c r="W103" s="1512"/>
      <c r="X103" s="1513" t="s">
        <v>662</v>
      </c>
      <c r="Y103" s="1514"/>
      <c r="Z103" s="1748"/>
      <c r="AB103" s="1566"/>
      <c r="AF103" s="1092"/>
      <c r="AG103" s="1092"/>
      <c r="AH103" s="1092"/>
    </row>
    <row r="104" spans="2:34" x14ac:dyDescent="0.2">
      <c r="C104" s="1303"/>
      <c r="D104" s="1303"/>
      <c r="N104" s="1495"/>
      <c r="O104" s="1567"/>
      <c r="P104" s="1568"/>
      <c r="Q104" s="1568"/>
      <c r="R104" s="1699"/>
      <c r="S104" s="1568"/>
      <c r="T104" s="1568"/>
      <c r="U104" s="1568"/>
      <c r="V104" s="1566"/>
      <c r="W104" s="1305" t="s">
        <v>371</v>
      </c>
      <c r="X104" s="1579">
        <v>9204</v>
      </c>
      <c r="Y104" s="1306" t="s">
        <v>371</v>
      </c>
      <c r="Z104" s="1495"/>
      <c r="AA104" s="1092"/>
      <c r="AB104" s="1566"/>
      <c r="AF104" s="1092"/>
      <c r="AG104" s="1092"/>
      <c r="AH104" s="1092"/>
    </row>
    <row r="105" spans="2:34" x14ac:dyDescent="0.2">
      <c r="B105" s="1092"/>
      <c r="C105" s="1494"/>
      <c r="D105" s="1517"/>
      <c r="I105" s="1495"/>
      <c r="N105" s="1495"/>
      <c r="O105" s="1567"/>
      <c r="P105" s="1568"/>
      <c r="Q105" s="1568"/>
      <c r="R105" s="1699"/>
      <c r="S105" s="1568"/>
      <c r="T105" s="1568"/>
      <c r="U105" s="1568"/>
      <c r="V105" s="1566"/>
      <c r="W105" s="1305" t="s">
        <v>372</v>
      </c>
      <c r="X105" s="1579">
        <v>12141</v>
      </c>
      <c r="Y105" s="1306" t="s">
        <v>372</v>
      </c>
      <c r="Z105" s="1495"/>
      <c r="AA105" s="1092"/>
      <c r="AB105" s="1566"/>
      <c r="AF105" s="1092"/>
      <c r="AG105" s="1092"/>
      <c r="AH105" s="1092"/>
    </row>
    <row r="106" spans="2:34" x14ac:dyDescent="0.2">
      <c r="B106" s="1092"/>
      <c r="C106" s="1494"/>
      <c r="D106" s="1517"/>
      <c r="O106" s="1566"/>
      <c r="P106" s="1566"/>
      <c r="Q106" s="1566"/>
      <c r="R106" s="1700"/>
      <c r="S106" s="1566"/>
      <c r="T106" s="1566"/>
      <c r="U106" s="1566"/>
      <c r="V106" s="1566"/>
      <c r="W106" s="1305" t="s">
        <v>373</v>
      </c>
      <c r="X106" s="1579">
        <v>15691</v>
      </c>
      <c r="Y106" s="1306" t="s">
        <v>373</v>
      </c>
      <c r="Z106" s="1495"/>
      <c r="AA106" s="1092"/>
      <c r="AB106" s="1566"/>
      <c r="AF106" s="1092"/>
      <c r="AG106" s="1092"/>
      <c r="AH106" s="1092"/>
    </row>
    <row r="107" spans="2:34" x14ac:dyDescent="0.2">
      <c r="B107" s="1092"/>
      <c r="C107" s="1494"/>
      <c r="D107" s="1517"/>
      <c r="O107" s="1566"/>
      <c r="P107" s="1566"/>
      <c r="Q107" s="1566"/>
      <c r="R107" s="1700"/>
      <c r="S107" s="1566"/>
      <c r="T107" s="1092"/>
      <c r="U107" s="1092"/>
      <c r="V107" s="1092"/>
      <c r="W107" s="1305" t="s">
        <v>374</v>
      </c>
      <c r="X107" s="1579">
        <v>19241</v>
      </c>
      <c r="Y107" s="1306" t="s">
        <v>374</v>
      </c>
      <c r="Z107" s="1495"/>
      <c r="AA107" s="1092"/>
      <c r="AB107" s="1566"/>
      <c r="AF107" s="1092"/>
      <c r="AG107" s="1092"/>
      <c r="AH107" s="1092"/>
    </row>
    <row r="108" spans="2:34" x14ac:dyDescent="0.2">
      <c r="O108" s="1566"/>
      <c r="P108" s="1566"/>
      <c r="Q108" s="1566"/>
      <c r="R108" s="1700"/>
      <c r="S108" s="1566"/>
      <c r="T108" s="1092"/>
      <c r="U108" s="1092"/>
      <c r="V108" s="1092"/>
      <c r="W108" s="1580" t="s">
        <v>924</v>
      </c>
      <c r="X108" s="1581">
        <v>999999</v>
      </c>
      <c r="Y108" s="1582" t="s">
        <v>924</v>
      </c>
      <c r="Z108" s="1579"/>
      <c r="AA108" s="1092"/>
      <c r="AB108" s="1092"/>
      <c r="AF108" s="1092"/>
      <c r="AG108" s="1092"/>
      <c r="AH108" s="1092"/>
    </row>
    <row r="109" spans="2:34" x14ac:dyDescent="0.2">
      <c r="O109" s="1569"/>
      <c r="P109" s="1569"/>
      <c r="Q109" s="1569"/>
      <c r="R109" s="1701"/>
      <c r="S109" s="1569"/>
      <c r="V109" s="1092"/>
      <c r="W109" s="1579"/>
      <c r="X109" s="1579"/>
      <c r="Y109" s="1579"/>
      <c r="Z109" s="1579"/>
      <c r="AA109" s="1092"/>
      <c r="AB109" s="1092"/>
      <c r="AC109" s="1092"/>
      <c r="AD109" s="1092"/>
      <c r="AE109" s="1092"/>
      <c r="AF109" s="1092"/>
      <c r="AG109" s="1092"/>
      <c r="AH109" s="1092"/>
    </row>
    <row r="110" spans="2:34" x14ac:dyDescent="0.2">
      <c r="N110" s="1495"/>
      <c r="O110" s="1566"/>
      <c r="P110" s="1566"/>
      <c r="Q110" s="1566"/>
      <c r="R110" s="1700"/>
      <c r="S110" s="1566"/>
      <c r="V110" s="1092"/>
      <c r="W110" s="1579"/>
      <c r="X110" s="1579"/>
      <c r="Y110" s="1579"/>
      <c r="Z110" s="1579"/>
      <c r="AA110" s="1092"/>
      <c r="AB110" s="1092"/>
      <c r="AC110" s="1092"/>
      <c r="AD110" s="1092"/>
      <c r="AE110" s="1092"/>
      <c r="AF110" s="1092"/>
      <c r="AG110" s="1092"/>
      <c r="AH110" s="1092"/>
    </row>
    <row r="111" spans="2:34" x14ac:dyDescent="0.2">
      <c r="B111" s="1092"/>
      <c r="C111" s="1494"/>
      <c r="D111" s="1517"/>
      <c r="N111" s="1495"/>
      <c r="O111" s="1566"/>
      <c r="P111" s="1566"/>
      <c r="Q111" s="1566"/>
      <c r="R111" s="1700"/>
      <c r="S111" s="1566"/>
      <c r="V111" s="1092"/>
      <c r="W111" s="1579"/>
      <c r="X111" s="1579"/>
      <c r="Y111" s="1579"/>
      <c r="Z111" s="1579"/>
      <c r="AA111" s="1092"/>
      <c r="AB111" s="1092"/>
      <c r="AC111" s="1092"/>
      <c r="AD111" s="1092"/>
      <c r="AE111" s="1092"/>
      <c r="AF111" s="1092"/>
      <c r="AG111" s="1092"/>
      <c r="AH111" s="1092"/>
    </row>
    <row r="112" spans="2:34" x14ac:dyDescent="0.2">
      <c r="B112" s="1092"/>
      <c r="C112" s="1494"/>
      <c r="D112" s="1517"/>
      <c r="L112" s="1495"/>
      <c r="M112" s="1495"/>
      <c r="N112" s="1495"/>
      <c r="O112" s="1092"/>
      <c r="P112" s="1092"/>
      <c r="Q112" s="1092"/>
      <c r="R112" s="1517"/>
      <c r="S112" s="1092"/>
      <c r="V112" s="1092"/>
      <c r="W112" s="1579"/>
      <c r="X112" s="1579"/>
      <c r="Y112" s="1579"/>
      <c r="Z112" s="1579"/>
      <c r="AA112" s="1092"/>
      <c r="AB112" s="1092"/>
      <c r="AC112" s="1092"/>
      <c r="AD112" s="1092"/>
      <c r="AE112" s="1092"/>
      <c r="AF112" s="1092"/>
      <c r="AG112" s="1092"/>
      <c r="AH112" s="1092"/>
    </row>
    <row r="113" spans="4:34" x14ac:dyDescent="0.2">
      <c r="L113" s="1495"/>
      <c r="M113" s="1495"/>
      <c r="N113" s="1495"/>
      <c r="O113" s="1092"/>
      <c r="P113" s="1092"/>
      <c r="Q113" s="1092"/>
      <c r="R113" s="1517"/>
      <c r="S113" s="1092"/>
      <c r="V113" s="1092"/>
      <c r="W113" s="1579"/>
      <c r="X113" s="1579"/>
      <c r="Y113" s="1579"/>
      <c r="Z113" s="1579"/>
      <c r="AA113" s="1092"/>
      <c r="AB113" s="1092"/>
      <c r="AC113" s="1092"/>
      <c r="AD113" s="1092"/>
      <c r="AE113" s="1092"/>
      <c r="AF113" s="1092"/>
      <c r="AG113" s="1092"/>
      <c r="AH113" s="1092"/>
    </row>
    <row r="114" spans="4:34" x14ac:dyDescent="0.2">
      <c r="E114" s="1495"/>
      <c r="F114" s="1495"/>
      <c r="G114" s="1495"/>
      <c r="H114" s="1495"/>
      <c r="I114" s="1495"/>
      <c r="J114" s="1495"/>
      <c r="K114" s="1606"/>
      <c r="L114" s="1495"/>
      <c r="M114" s="1495"/>
      <c r="N114" s="1495"/>
      <c r="O114" s="1092"/>
      <c r="P114" s="1092"/>
      <c r="Q114" s="1092"/>
      <c r="R114" s="1517"/>
      <c r="S114" s="1092"/>
      <c r="V114" s="1092"/>
      <c r="W114" s="1579"/>
      <c r="X114" s="1579"/>
      <c r="Y114" s="1579"/>
      <c r="Z114" s="1579"/>
      <c r="AA114" s="1092"/>
      <c r="AB114" s="1092"/>
      <c r="AC114" s="1092"/>
      <c r="AD114" s="1092"/>
      <c r="AE114" s="1092"/>
      <c r="AF114" s="1092"/>
      <c r="AG114" s="1092"/>
      <c r="AH114" s="1092"/>
    </row>
    <row r="115" spans="4:34" x14ac:dyDescent="0.2">
      <c r="D115" s="1517"/>
      <c r="E115" s="1495"/>
      <c r="F115" s="1583"/>
      <c r="G115" s="1583"/>
      <c r="H115" s="1583"/>
      <c r="I115" s="1495"/>
      <c r="J115" s="1495"/>
      <c r="K115" s="1606"/>
      <c r="L115" s="1495"/>
      <c r="M115" s="1495"/>
      <c r="N115" s="1495"/>
      <c r="O115" s="1092"/>
      <c r="P115" s="1092"/>
      <c r="Q115" s="1092"/>
      <c r="R115" s="1517"/>
      <c r="S115" s="1092"/>
      <c r="V115" s="1092"/>
      <c r="W115" s="1579"/>
      <c r="X115" s="1579"/>
      <c r="Y115" s="1579"/>
      <c r="Z115" s="1579"/>
      <c r="AA115" s="1092"/>
      <c r="AB115" s="1092"/>
      <c r="AC115" s="1092"/>
      <c r="AD115" s="1092"/>
      <c r="AE115" s="1092"/>
      <c r="AF115" s="1092"/>
      <c r="AG115" s="1092"/>
      <c r="AH115" s="1092"/>
    </row>
    <row r="116" spans="4:34" x14ac:dyDescent="0.2">
      <c r="D116" s="1517"/>
      <c r="E116" s="1495"/>
      <c r="F116" s="1495"/>
      <c r="G116" s="1495"/>
      <c r="H116" s="1495"/>
      <c r="I116" s="1495"/>
      <c r="J116" s="1495"/>
      <c r="K116" s="1606"/>
      <c r="L116" s="1495"/>
      <c r="M116" s="1495"/>
      <c r="N116" s="1495"/>
      <c r="O116" s="1092"/>
      <c r="P116" s="1092"/>
      <c r="Q116" s="1092"/>
      <c r="R116" s="1517"/>
      <c r="S116" s="1092"/>
      <c r="V116" s="1092"/>
      <c r="W116" s="1579"/>
      <c r="X116" s="1579"/>
      <c r="Y116" s="1579"/>
      <c r="Z116" s="1579"/>
      <c r="AA116" s="1092"/>
      <c r="AB116" s="1092"/>
      <c r="AC116" s="1092"/>
      <c r="AD116" s="1092"/>
      <c r="AE116" s="1092"/>
      <c r="AF116" s="1092"/>
      <c r="AG116" s="1092"/>
      <c r="AH116" s="1092"/>
    </row>
    <row r="117" spans="4:34" x14ac:dyDescent="0.2">
      <c r="D117" s="1517"/>
      <c r="E117" s="1495"/>
      <c r="F117" s="1495"/>
      <c r="G117" s="1495"/>
      <c r="H117" s="1495"/>
      <c r="I117" s="1495"/>
      <c r="J117" s="1495"/>
      <c r="K117" s="1606"/>
      <c r="L117" s="1495"/>
      <c r="M117" s="1495"/>
      <c r="N117" s="1495"/>
      <c r="O117" s="1092"/>
      <c r="P117" s="1092"/>
      <c r="Q117" s="1092"/>
      <c r="R117" s="1517"/>
      <c r="S117" s="1092"/>
      <c r="V117" s="1092"/>
      <c r="W117" s="1579"/>
      <c r="X117" s="1579"/>
      <c r="Y117" s="1579"/>
      <c r="Z117" s="1579"/>
      <c r="AA117" s="1092"/>
      <c r="AB117" s="1092"/>
      <c r="AC117" s="1092"/>
      <c r="AD117" s="1092"/>
      <c r="AE117" s="1092"/>
      <c r="AF117" s="1092"/>
      <c r="AG117" s="1092"/>
      <c r="AH117" s="1092"/>
    </row>
    <row r="118" spans="4:34" x14ac:dyDescent="0.2">
      <c r="D118" s="1517"/>
      <c r="E118" s="1495"/>
      <c r="F118" s="1495"/>
      <c r="G118" s="1495"/>
      <c r="H118" s="1495"/>
      <c r="I118" s="1495"/>
      <c r="J118" s="1495"/>
      <c r="K118" s="1606"/>
      <c r="L118" s="1495"/>
      <c r="M118" s="1495"/>
      <c r="N118" s="1495"/>
      <c r="O118" s="1092"/>
      <c r="P118" s="1092"/>
      <c r="Q118" s="1092"/>
      <c r="R118" s="1517"/>
      <c r="S118" s="1092"/>
      <c r="V118" s="1092"/>
      <c r="W118" s="1579"/>
      <c r="X118" s="1579"/>
      <c r="Y118" s="1579"/>
      <c r="Z118" s="1579"/>
      <c r="AA118" s="1092"/>
      <c r="AB118" s="1092"/>
      <c r="AC118" s="1092"/>
      <c r="AD118" s="1092"/>
      <c r="AE118" s="1092"/>
      <c r="AF118" s="1092"/>
      <c r="AG118" s="1092"/>
      <c r="AH118" s="1092"/>
    </row>
    <row r="119" spans="4:34" x14ac:dyDescent="0.2">
      <c r="D119" s="1517"/>
      <c r="E119" s="1495"/>
      <c r="F119" s="1495"/>
      <c r="G119" s="1495"/>
      <c r="H119" s="1495"/>
      <c r="I119" s="1495"/>
      <c r="J119" s="1495"/>
      <c r="K119" s="1606"/>
      <c r="L119" s="1495"/>
      <c r="M119" s="1495"/>
      <c r="N119" s="1495"/>
      <c r="O119" s="1092"/>
      <c r="P119" s="1092"/>
      <c r="Q119" s="1092"/>
      <c r="R119" s="1517"/>
      <c r="S119" s="1092"/>
      <c r="V119" s="1092"/>
      <c r="W119" s="1092"/>
      <c r="X119" s="1092"/>
      <c r="Y119" s="1092"/>
      <c r="Z119" s="1495"/>
      <c r="AA119" s="1092"/>
      <c r="AB119" s="1092"/>
      <c r="AC119" s="1092"/>
      <c r="AD119" s="1092"/>
      <c r="AE119" s="1092"/>
      <c r="AF119" s="1092"/>
      <c r="AG119" s="1092"/>
      <c r="AH119" s="1092"/>
    </row>
    <row r="120" spans="4:34" x14ac:dyDescent="0.2">
      <c r="D120" s="1517"/>
      <c r="E120" s="1495"/>
      <c r="F120" s="1495"/>
      <c r="G120" s="1495"/>
      <c r="H120" s="1495"/>
      <c r="I120" s="1495"/>
      <c r="J120" s="1495"/>
      <c r="K120" s="1606"/>
      <c r="L120" s="1495"/>
      <c r="M120" s="1495"/>
      <c r="N120" s="1495"/>
      <c r="O120" s="1092"/>
      <c r="P120" s="1092"/>
      <c r="Q120" s="1092"/>
      <c r="R120" s="1517"/>
      <c r="S120" s="1092"/>
      <c r="V120" s="1092"/>
      <c r="W120" s="1583"/>
      <c r="X120" s="1583"/>
      <c r="Y120" s="1583"/>
      <c r="Z120" s="1607"/>
      <c r="AA120" s="1092"/>
      <c r="AB120" s="1092"/>
      <c r="AC120" s="1092"/>
      <c r="AD120" s="1092"/>
      <c r="AE120" s="1092"/>
      <c r="AF120" s="1092"/>
      <c r="AG120" s="1092"/>
      <c r="AH120" s="1092"/>
    </row>
    <row r="121" spans="4:34" x14ac:dyDescent="0.2">
      <c r="D121" s="1517"/>
      <c r="E121" s="1495"/>
      <c r="F121" s="1495"/>
      <c r="G121" s="1495"/>
      <c r="H121" s="1495"/>
      <c r="I121" s="1495"/>
      <c r="J121" s="1495"/>
      <c r="K121" s="1606"/>
      <c r="L121" s="1495"/>
      <c r="M121" s="1495"/>
      <c r="N121" s="1495"/>
      <c r="O121" s="1092"/>
      <c r="P121" s="1092"/>
      <c r="Q121" s="1092"/>
      <c r="R121" s="1517"/>
      <c r="S121" s="1092"/>
      <c r="V121" s="1092"/>
      <c r="W121" s="1092"/>
      <c r="X121" s="1092"/>
      <c r="Y121" s="1092"/>
      <c r="Z121" s="1495"/>
      <c r="AA121" s="1092"/>
      <c r="AB121" s="1092"/>
      <c r="AC121" s="1092"/>
      <c r="AD121" s="1092"/>
      <c r="AE121" s="1092"/>
      <c r="AF121" s="1092"/>
      <c r="AG121" s="1092"/>
      <c r="AH121" s="1092"/>
    </row>
    <row r="122" spans="4:34" x14ac:dyDescent="0.2">
      <c r="D122" s="1517"/>
      <c r="E122" s="1495"/>
      <c r="F122" s="1495"/>
      <c r="G122" s="1495"/>
      <c r="H122" s="1495"/>
      <c r="I122" s="1495"/>
      <c r="J122" s="1495"/>
      <c r="K122" s="1606"/>
      <c r="L122" s="1495"/>
      <c r="M122" s="1495"/>
      <c r="N122" s="1495"/>
      <c r="O122" s="1092"/>
      <c r="P122" s="1092"/>
      <c r="Q122" s="1092"/>
      <c r="R122" s="1517"/>
      <c r="S122" s="1092"/>
      <c r="V122" s="1092"/>
      <c r="W122" s="1092"/>
      <c r="X122" s="1092"/>
      <c r="Y122" s="1092"/>
      <c r="Z122" s="1495"/>
      <c r="AA122" s="1092"/>
      <c r="AB122" s="1092"/>
      <c r="AC122" s="1092"/>
      <c r="AD122" s="1092"/>
      <c r="AE122" s="1092"/>
      <c r="AF122" s="1092"/>
      <c r="AG122" s="1092"/>
      <c r="AH122" s="1092"/>
    </row>
    <row r="123" spans="4:34" x14ac:dyDescent="0.2">
      <c r="D123" s="1517"/>
      <c r="E123" s="1495"/>
      <c r="F123" s="1495"/>
      <c r="G123" s="1495"/>
      <c r="H123" s="1495"/>
      <c r="I123" s="1495"/>
      <c r="J123" s="1495"/>
      <c r="K123" s="1606"/>
      <c r="L123" s="1495"/>
      <c r="M123" s="1495"/>
      <c r="N123" s="1495"/>
      <c r="O123" s="1092"/>
      <c r="P123" s="1092"/>
      <c r="Q123" s="1092"/>
      <c r="R123" s="1517"/>
      <c r="S123" s="1092"/>
      <c r="V123" s="1092"/>
      <c r="W123" s="1092"/>
      <c r="X123" s="1092"/>
      <c r="Y123" s="1092"/>
      <c r="Z123" s="1495"/>
      <c r="AA123" s="1092"/>
      <c r="AB123" s="1092"/>
      <c r="AC123" s="1092"/>
      <c r="AD123" s="1092"/>
      <c r="AE123" s="1092"/>
      <c r="AF123" s="1092"/>
      <c r="AG123" s="1092"/>
      <c r="AH123" s="1092"/>
    </row>
    <row r="124" spans="4:34" x14ac:dyDescent="0.2">
      <c r="D124" s="1517"/>
      <c r="E124" s="1495"/>
      <c r="F124" s="1495"/>
      <c r="G124" s="1495"/>
      <c r="H124" s="1495"/>
      <c r="I124" s="1495"/>
      <c r="J124" s="1495"/>
      <c r="K124" s="1606"/>
      <c r="L124" s="1495"/>
      <c r="M124" s="1495"/>
      <c r="N124" s="1495"/>
      <c r="O124" s="1092"/>
      <c r="P124" s="1092"/>
      <c r="Q124" s="1092"/>
      <c r="R124" s="1517"/>
      <c r="S124" s="1092"/>
      <c r="V124" s="1092"/>
      <c r="W124" s="1092"/>
      <c r="X124" s="1092"/>
      <c r="Y124" s="1092"/>
      <c r="Z124" s="1495"/>
      <c r="AA124" s="1092"/>
      <c r="AB124" s="1092"/>
      <c r="AC124" s="1092"/>
      <c r="AD124" s="1092"/>
      <c r="AE124" s="1092"/>
      <c r="AF124" s="1092"/>
      <c r="AG124" s="1092"/>
      <c r="AH124" s="1092"/>
    </row>
    <row r="125" spans="4:34" x14ac:dyDescent="0.2">
      <c r="D125" s="1517"/>
      <c r="E125" s="1495"/>
      <c r="F125" s="1495"/>
      <c r="G125" s="1495"/>
      <c r="H125" s="1495"/>
      <c r="I125" s="1495"/>
      <c r="J125" s="1495"/>
      <c r="K125" s="1606"/>
      <c r="L125" s="1495"/>
      <c r="M125" s="1495"/>
      <c r="N125" s="28"/>
      <c r="O125" s="27"/>
      <c r="P125" s="751"/>
      <c r="Q125" s="28"/>
      <c r="R125" s="28"/>
      <c r="S125" s="1092"/>
      <c r="V125" s="1092"/>
      <c r="W125" s="1092"/>
      <c r="X125" s="1092"/>
      <c r="Y125" s="1092"/>
      <c r="Z125" s="1495"/>
      <c r="AA125" s="1092"/>
      <c r="AB125" s="1092"/>
      <c r="AC125" s="1092"/>
      <c r="AD125" s="1092"/>
      <c r="AE125" s="1092"/>
      <c r="AF125" s="1092"/>
      <c r="AG125" s="1092"/>
    </row>
    <row r="126" spans="4:34" x14ac:dyDescent="0.2">
      <c r="D126" s="1517"/>
      <c r="E126" s="1495"/>
      <c r="F126" s="1495"/>
      <c r="G126" s="1495"/>
      <c r="H126" s="1495"/>
      <c r="I126" s="1495"/>
      <c r="J126" s="1495"/>
      <c r="K126" s="1606"/>
      <c r="L126" s="1495"/>
      <c r="M126" s="1495"/>
      <c r="N126" s="28"/>
      <c r="O126" s="186"/>
      <c r="P126" s="849"/>
      <c r="Q126" s="789"/>
      <c r="R126" s="789"/>
      <c r="S126" s="1092"/>
      <c r="V126" s="1092"/>
      <c r="W126" s="1092"/>
      <c r="X126" s="1092"/>
      <c r="Y126" s="1092"/>
      <c r="Z126" s="1495"/>
      <c r="AA126" s="1092"/>
      <c r="AB126" s="1092"/>
      <c r="AC126" s="1092"/>
      <c r="AD126" s="1092"/>
      <c r="AE126" s="1092"/>
      <c r="AF126" s="1092"/>
      <c r="AG126" s="1092"/>
    </row>
    <row r="127" spans="4:34" x14ac:dyDescent="0.2">
      <c r="D127" s="1517"/>
      <c r="L127" s="1495"/>
      <c r="M127" s="1495"/>
      <c r="N127" s="1600"/>
      <c r="O127" s="1402"/>
      <c r="P127" s="1402"/>
      <c r="Q127" s="1403"/>
      <c r="R127" s="1403"/>
      <c r="S127" s="1092"/>
      <c r="W127" s="1092"/>
      <c r="X127" s="1092"/>
      <c r="Y127" s="1092"/>
      <c r="Z127" s="1495"/>
      <c r="AA127" s="1092"/>
      <c r="AB127" s="1092"/>
      <c r="AC127" s="1092"/>
      <c r="AD127" s="1092"/>
      <c r="AE127" s="1092"/>
      <c r="AF127" s="1092"/>
      <c r="AG127" s="1092"/>
    </row>
    <row r="128" spans="4:34" x14ac:dyDescent="0.2">
      <c r="L128" s="1495"/>
      <c r="M128" s="1495"/>
      <c r="N128" s="1600"/>
      <c r="O128" s="1402"/>
      <c r="P128" s="1402"/>
      <c r="Q128" s="1403"/>
      <c r="R128" s="1403"/>
      <c r="S128" s="1092"/>
      <c r="V128" s="1495"/>
      <c r="W128" s="1092"/>
      <c r="X128" s="1092"/>
      <c r="Y128" s="1092"/>
      <c r="Z128" s="1495"/>
      <c r="AA128" s="1092"/>
      <c r="AB128" s="1092"/>
      <c r="AC128" s="1092"/>
      <c r="AD128" s="1092"/>
      <c r="AE128" s="1092"/>
      <c r="AF128" s="1092"/>
      <c r="AG128" s="1092"/>
    </row>
    <row r="129" spans="12:33" x14ac:dyDescent="0.2">
      <c r="L129" s="1495"/>
      <c r="M129" s="1495"/>
      <c r="N129" s="1600"/>
      <c r="O129" s="1402"/>
      <c r="P129" s="1402"/>
      <c r="Q129" s="1403"/>
      <c r="R129" s="1403"/>
      <c r="S129" s="1092"/>
      <c r="V129" s="1495"/>
      <c r="W129" s="1579"/>
      <c r="X129" s="1579"/>
      <c r="Y129" s="1579"/>
      <c r="Z129" s="1579"/>
      <c r="AA129" s="1495"/>
      <c r="AB129" s="1495"/>
      <c r="AC129" s="1092"/>
      <c r="AD129" s="1092"/>
      <c r="AE129" s="1092"/>
      <c r="AF129" s="1092"/>
      <c r="AG129" s="1092"/>
    </row>
    <row r="130" spans="12:33" x14ac:dyDescent="0.2">
      <c r="L130" s="1495"/>
      <c r="M130" s="1495"/>
      <c r="N130" s="1600"/>
      <c r="O130" s="1402"/>
      <c r="P130" s="1402"/>
      <c r="Q130" s="1403"/>
      <c r="R130" s="1403"/>
      <c r="S130" s="1092"/>
      <c r="V130" s="1495"/>
      <c r="W130" s="1579"/>
      <c r="X130" s="1579"/>
      <c r="Y130" s="1579"/>
      <c r="Z130" s="1579"/>
      <c r="AA130" s="1495"/>
      <c r="AB130" s="1495"/>
      <c r="AC130" s="1092"/>
      <c r="AD130" s="1092"/>
      <c r="AE130" s="1092"/>
      <c r="AF130" s="1092"/>
      <c r="AG130" s="1092"/>
    </row>
    <row r="131" spans="12:33" x14ac:dyDescent="0.2">
      <c r="L131" s="1495"/>
      <c r="M131" s="1495"/>
      <c r="N131" s="1600"/>
      <c r="O131" s="1402"/>
      <c r="P131" s="1402"/>
      <c r="Q131" s="1403"/>
      <c r="R131" s="1403"/>
      <c r="S131" s="1092"/>
      <c r="V131" s="1495"/>
      <c r="W131" s="1579"/>
      <c r="X131" s="1579"/>
      <c r="Y131" s="1579"/>
      <c r="Z131" s="1579"/>
      <c r="AA131" s="1495"/>
      <c r="AB131" s="1495"/>
      <c r="AC131" s="1092"/>
      <c r="AD131" s="1092"/>
      <c r="AE131" s="1092"/>
      <c r="AF131" s="1092"/>
      <c r="AG131" s="1092"/>
    </row>
    <row r="132" spans="12:33" x14ac:dyDescent="0.2">
      <c r="L132" s="1495"/>
      <c r="M132" s="1495"/>
      <c r="N132" s="28"/>
      <c r="O132" s="186"/>
      <c r="P132" s="27"/>
      <c r="Q132" s="789"/>
      <c r="R132" s="789"/>
      <c r="S132" s="1092"/>
      <c r="V132" s="1495"/>
      <c r="W132" s="1579"/>
      <c r="X132" s="1579"/>
      <c r="Y132" s="1579"/>
      <c r="Z132" s="1579"/>
      <c r="AA132" s="1495"/>
      <c r="AB132" s="1495"/>
      <c r="AC132" s="1092"/>
      <c r="AD132" s="1092"/>
      <c r="AE132" s="1092"/>
    </row>
    <row r="133" spans="12:33" x14ac:dyDescent="0.2">
      <c r="L133" s="1495"/>
      <c r="M133" s="1495"/>
      <c r="N133" s="33"/>
      <c r="O133" s="157"/>
      <c r="P133" s="751"/>
      <c r="Q133" s="33"/>
      <c r="R133" s="33"/>
      <c r="S133" s="1092"/>
      <c r="V133" s="1495"/>
      <c r="W133" s="1579"/>
      <c r="X133" s="1579"/>
      <c r="Y133" s="1579"/>
      <c r="Z133" s="1579"/>
      <c r="AA133" s="1495"/>
      <c r="AB133" s="1495"/>
      <c r="AC133" s="1092"/>
      <c r="AD133" s="1092"/>
      <c r="AE133" s="1092"/>
    </row>
    <row r="134" spans="12:33" x14ac:dyDescent="0.2">
      <c r="L134" s="1495"/>
      <c r="M134" s="1495"/>
      <c r="N134" s="33"/>
      <c r="O134" s="27"/>
      <c r="P134" s="191"/>
      <c r="Q134" s="14"/>
      <c r="R134" s="33"/>
      <c r="S134" s="1092"/>
      <c r="V134" s="1495"/>
      <c r="W134" s="1579"/>
      <c r="X134" s="1579"/>
      <c r="Y134" s="1579"/>
      <c r="Z134" s="1579"/>
      <c r="AA134" s="1495"/>
      <c r="AB134" s="1495"/>
      <c r="AC134" s="1092"/>
      <c r="AD134" s="1092"/>
      <c r="AE134" s="1092"/>
    </row>
    <row r="135" spans="12:33" x14ac:dyDescent="0.2">
      <c r="L135" s="1495"/>
      <c r="M135" s="1495"/>
      <c r="N135" s="33"/>
      <c r="O135" s="27"/>
      <c r="P135" s="191"/>
      <c r="Q135" s="33"/>
      <c r="R135" s="33"/>
      <c r="S135" s="1092"/>
      <c r="V135" s="1495"/>
      <c r="W135" s="1579"/>
      <c r="X135" s="1579"/>
      <c r="Y135" s="1579"/>
      <c r="Z135" s="1579"/>
      <c r="AA135" s="1495"/>
      <c r="AB135" s="1495"/>
      <c r="AC135" s="1092"/>
      <c r="AD135" s="1092"/>
      <c r="AE135" s="1092"/>
    </row>
    <row r="136" spans="12:33" x14ac:dyDescent="0.2">
      <c r="L136" s="1495"/>
      <c r="M136" s="1495"/>
      <c r="N136" s="33"/>
      <c r="O136" s="27"/>
      <c r="P136" s="191"/>
      <c r="Q136" s="14"/>
      <c r="R136" s="33"/>
      <c r="S136" s="1092"/>
      <c r="V136" s="1495"/>
      <c r="W136" s="1579"/>
      <c r="X136" s="1579"/>
      <c r="Y136" s="1579"/>
      <c r="Z136" s="1579"/>
      <c r="AA136" s="1495"/>
      <c r="AB136" s="1495"/>
      <c r="AC136" s="1092"/>
      <c r="AD136" s="1092"/>
      <c r="AE136" s="1092"/>
    </row>
    <row r="137" spans="12:33" x14ac:dyDescent="0.2">
      <c r="V137" s="1495"/>
      <c r="W137" s="1579"/>
      <c r="X137" s="1579"/>
      <c r="Y137" s="1579"/>
      <c r="Z137" s="1579"/>
      <c r="AA137" s="1495"/>
      <c r="AB137" s="1495"/>
      <c r="AC137" s="1092"/>
      <c r="AD137" s="1092"/>
      <c r="AE137" s="1092"/>
    </row>
    <row r="138" spans="12:33" x14ac:dyDescent="0.2">
      <c r="V138" s="1495"/>
      <c r="W138" s="1579"/>
      <c r="X138" s="1579"/>
      <c r="Y138" s="1579"/>
      <c r="Z138" s="1579"/>
      <c r="AA138" s="1495"/>
      <c r="AB138" s="1495"/>
      <c r="AC138" s="1092"/>
      <c r="AD138" s="1092"/>
      <c r="AE138" s="1092"/>
    </row>
    <row r="139" spans="12:33" x14ac:dyDescent="0.2">
      <c r="V139" s="1495"/>
      <c r="W139" s="1579"/>
      <c r="X139" s="1579"/>
      <c r="Y139" s="1579"/>
      <c r="Z139" s="1579"/>
      <c r="AA139" s="1495"/>
      <c r="AB139" s="1495"/>
      <c r="AC139" s="1092"/>
      <c r="AD139" s="1092"/>
      <c r="AE139" s="1092"/>
    </row>
    <row r="140" spans="12:33" x14ac:dyDescent="0.2">
      <c r="V140" s="1495"/>
      <c r="W140" s="1579"/>
      <c r="X140" s="1579"/>
      <c r="Y140" s="1579"/>
      <c r="Z140" s="1579"/>
      <c r="AA140" s="1495"/>
      <c r="AB140" s="1495"/>
      <c r="AC140" s="1092"/>
      <c r="AD140" s="1092"/>
      <c r="AE140" s="1092"/>
    </row>
    <row r="141" spans="12:33" x14ac:dyDescent="0.2">
      <c r="V141" s="1495"/>
      <c r="W141" s="1579"/>
      <c r="X141" s="1579"/>
      <c r="Y141" s="1579"/>
      <c r="Z141" s="1579"/>
      <c r="AA141" s="1495"/>
      <c r="AB141" s="1495"/>
      <c r="AC141" s="1092"/>
      <c r="AD141" s="1092"/>
      <c r="AE141" s="1092"/>
    </row>
    <row r="142" spans="12:33" x14ac:dyDescent="0.2">
      <c r="V142" s="1495"/>
      <c r="W142" s="1579"/>
      <c r="X142" s="1579"/>
      <c r="Y142" s="1579"/>
      <c r="Z142" s="1579"/>
      <c r="AA142" s="1495"/>
      <c r="AB142" s="1495"/>
      <c r="AC142" s="1092"/>
      <c r="AD142" s="1092"/>
      <c r="AE142" s="1092"/>
    </row>
    <row r="143" spans="12:33" x14ac:dyDescent="0.2">
      <c r="V143" s="1495"/>
      <c r="W143" s="1579"/>
      <c r="X143" s="1579"/>
      <c r="Y143" s="1579"/>
      <c r="Z143" s="1579"/>
      <c r="AA143" s="1495"/>
      <c r="AB143" s="1495"/>
      <c r="AC143" s="1092"/>
      <c r="AD143" s="1092"/>
      <c r="AE143" s="1092"/>
    </row>
    <row r="144" spans="12:33" x14ac:dyDescent="0.2">
      <c r="V144" s="1495"/>
      <c r="W144" s="1579"/>
      <c r="X144" s="1579"/>
      <c r="Y144" s="1579"/>
      <c r="Z144" s="1579"/>
      <c r="AA144" s="1495"/>
      <c r="AB144" s="1495"/>
      <c r="AC144" s="1092"/>
      <c r="AD144" s="1092"/>
      <c r="AE144" s="1092"/>
    </row>
    <row r="145" spans="22:31" x14ac:dyDescent="0.2">
      <c r="V145" s="1495"/>
      <c r="W145" s="1579"/>
      <c r="X145" s="1579"/>
      <c r="Y145" s="1579"/>
      <c r="Z145" s="1579"/>
      <c r="AA145" s="1495"/>
      <c r="AB145" s="1495"/>
      <c r="AC145" s="1092"/>
      <c r="AD145" s="1092"/>
      <c r="AE145" s="1092"/>
    </row>
    <row r="146" spans="22:31" x14ac:dyDescent="0.2">
      <c r="V146" s="1495"/>
      <c r="W146" s="1579"/>
      <c r="X146" s="1579"/>
      <c r="Y146" s="1579"/>
      <c r="Z146" s="1579"/>
      <c r="AA146" s="1495"/>
      <c r="AB146" s="1495"/>
      <c r="AC146" s="1092"/>
      <c r="AD146" s="1092"/>
      <c r="AE146" s="1092"/>
    </row>
    <row r="147" spans="22:31" x14ac:dyDescent="0.2">
      <c r="V147" s="1495"/>
      <c r="W147" s="1579"/>
      <c r="X147" s="1579"/>
      <c r="Y147" s="1579"/>
      <c r="Z147" s="1579"/>
      <c r="AA147" s="1495"/>
      <c r="AB147" s="1495"/>
      <c r="AC147" s="1092"/>
      <c r="AD147" s="1092"/>
      <c r="AE147" s="1092"/>
    </row>
    <row r="148" spans="22:31" x14ac:dyDescent="0.2">
      <c r="V148" s="1495"/>
      <c r="W148" s="1495"/>
      <c r="X148" s="1495"/>
      <c r="Y148" s="1495"/>
      <c r="Z148" s="1495"/>
      <c r="AA148" s="1495"/>
      <c r="AB148" s="1495"/>
      <c r="AC148" s="1092"/>
      <c r="AD148" s="1092"/>
      <c r="AE148" s="1092"/>
    </row>
    <row r="149" spans="22:31" x14ac:dyDescent="0.2">
      <c r="V149" s="1495"/>
      <c r="W149" s="1607"/>
      <c r="X149" s="1607"/>
      <c r="Y149" s="1607"/>
      <c r="Z149" s="1607"/>
      <c r="AA149" s="1495"/>
      <c r="AB149" s="1495"/>
      <c r="AC149" s="1092"/>
      <c r="AD149" s="1092"/>
      <c r="AE149" s="1092"/>
    </row>
    <row r="150" spans="22:31" x14ac:dyDescent="0.2">
      <c r="V150" s="1495"/>
      <c r="W150" s="1560"/>
      <c r="X150" s="1606"/>
      <c r="Y150" s="1617"/>
      <c r="Z150" s="1617"/>
      <c r="AA150" s="1495"/>
      <c r="AB150" s="1495"/>
      <c r="AC150" s="1092"/>
      <c r="AD150" s="1092"/>
      <c r="AE150" s="1092"/>
    </row>
    <row r="151" spans="22:31" x14ac:dyDescent="0.2">
      <c r="V151" s="1495"/>
      <c r="W151" s="1495"/>
      <c r="X151" s="1495"/>
      <c r="Y151" s="1495"/>
      <c r="Z151" s="1495"/>
      <c r="AA151" s="1495"/>
      <c r="AB151" s="1495"/>
      <c r="AC151" s="1092"/>
      <c r="AD151" s="1092"/>
      <c r="AE151" s="1092"/>
    </row>
    <row r="152" spans="22:31" x14ac:dyDescent="0.2">
      <c r="V152" s="1495"/>
      <c r="W152" s="1495"/>
      <c r="X152" s="1495"/>
      <c r="Y152" s="1495"/>
      <c r="Z152" s="1495"/>
      <c r="AA152" s="1495"/>
      <c r="AB152" s="1495"/>
      <c r="AC152" s="1092"/>
      <c r="AD152" s="1092"/>
      <c r="AE152" s="1092"/>
    </row>
    <row r="153" spans="22:31" x14ac:dyDescent="0.2">
      <c r="V153" s="1495"/>
      <c r="W153" s="1495"/>
      <c r="X153" s="1495"/>
      <c r="Y153" s="1495"/>
      <c r="Z153" s="1495"/>
      <c r="AA153" s="1495"/>
      <c r="AB153" s="1495"/>
      <c r="AC153" s="1092"/>
      <c r="AD153" s="1092"/>
      <c r="AE153" s="1092"/>
    </row>
    <row r="154" spans="22:31" x14ac:dyDescent="0.2">
      <c r="V154" s="1495"/>
      <c r="W154" s="1495"/>
      <c r="X154" s="1495"/>
      <c r="Y154" s="1495"/>
      <c r="Z154" s="1495"/>
      <c r="AA154" s="1495"/>
      <c r="AB154" s="1495"/>
      <c r="AC154" s="1092"/>
      <c r="AD154" s="1092"/>
      <c r="AE154" s="1092"/>
    </row>
    <row r="155" spans="22:31" x14ac:dyDescent="0.2">
      <c r="W155" s="1495"/>
      <c r="X155" s="1495"/>
      <c r="Y155" s="1495"/>
      <c r="Z155" s="1495"/>
      <c r="AA155" s="1495"/>
      <c r="AB155" s="1495"/>
      <c r="AC155" s="1092"/>
      <c r="AD155" s="1092"/>
      <c r="AE155" s="1092"/>
    </row>
    <row r="156" spans="22:31" x14ac:dyDescent="0.2">
      <c r="W156" s="1092"/>
      <c r="X156" s="1092"/>
      <c r="Y156" s="1092"/>
      <c r="Z156" s="1495"/>
      <c r="AA156" s="1092"/>
      <c r="AB156" s="1092"/>
      <c r="AC156" s="1092"/>
      <c r="AD156" s="1092"/>
      <c r="AE156" s="1092"/>
    </row>
    <row r="157" spans="22:31" x14ac:dyDescent="0.2">
      <c r="W157" s="1092"/>
      <c r="X157" s="1092"/>
      <c r="Y157" s="1092"/>
      <c r="Z157" s="1495"/>
      <c r="AA157" s="1092"/>
      <c r="AB157" s="1092"/>
      <c r="AC157" s="1092"/>
      <c r="AD157" s="1092"/>
      <c r="AE157" s="1092"/>
    </row>
    <row r="158" spans="22:31" x14ac:dyDescent="0.2">
      <c r="W158" s="1092"/>
      <c r="X158" s="1092"/>
      <c r="Y158" s="1092"/>
      <c r="Z158" s="1495"/>
      <c r="AA158" s="1092"/>
      <c r="AB158" s="1092"/>
      <c r="AC158" s="1092"/>
      <c r="AD158" s="1092"/>
      <c r="AE158" s="1092"/>
    </row>
    <row r="159" spans="22:31" x14ac:dyDescent="0.2">
      <c r="W159" s="1092"/>
      <c r="X159" s="1092"/>
      <c r="Y159" s="1092"/>
      <c r="Z159" s="1495"/>
      <c r="AA159" s="1092"/>
      <c r="AB159" s="1092"/>
      <c r="AC159" s="1092"/>
      <c r="AD159" s="1092"/>
      <c r="AE159" s="1092"/>
    </row>
  </sheetData>
  <conditionalFormatting sqref="P5 P14 P8:P11 S9 S11">
    <cfRule type="expression" dxfId="3" priority="133">
      <formula>#REF!=0</formula>
    </cfRule>
  </conditionalFormatting>
  <conditionalFormatting sqref="P22:P23">
    <cfRule type="expression" priority="134">
      <formula>#REF!=0</formula>
    </cfRule>
  </conditionalFormatting>
  <conditionalFormatting sqref="P21">
    <cfRule type="expression" priority="9">
      <formula>#REF!=0</formula>
    </cfRule>
  </conditionalFormatting>
  <conditionalFormatting sqref="S8">
    <cfRule type="expression" dxfId="2" priority="6">
      <formula>#REF!=0</formula>
    </cfRule>
  </conditionalFormatting>
  <conditionalFormatting sqref="S14">
    <cfRule type="expression" dxfId="1" priority="7">
      <formula>#REF!=0</formula>
    </cfRule>
  </conditionalFormatting>
  <conditionalFormatting sqref="S10">
    <cfRule type="expression" dxfId="0" priority="5">
      <formula>#REF!=0</formula>
    </cfRule>
  </conditionalFormatting>
  <conditionalFormatting sqref="P29:P30">
    <cfRule type="expression" priority="1">
      <formula>#REF!=0</formula>
    </cfRule>
  </conditionalFormatting>
  <conditionalFormatting sqref="P28">
    <cfRule type="expression" priority="3">
      <formula>#REF!=0</formula>
    </cfRule>
  </conditionalFormatting>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Y74"/>
  <sheetViews>
    <sheetView zoomScaleNormal="100" workbookViewId="0">
      <selection activeCell="C58" sqref="C58"/>
    </sheetView>
  </sheetViews>
  <sheetFormatPr defaultColWidth="9.33203125" defaultRowHeight="12" x14ac:dyDescent="0.2"/>
  <cols>
    <col min="1" max="1" width="6.5" style="144" customWidth="1"/>
    <col min="2" max="2" width="44.1640625" style="144" bestFit="1" customWidth="1"/>
    <col min="3" max="3" width="21" style="187" bestFit="1" customWidth="1"/>
    <col min="4" max="4" width="11.33203125" style="144" bestFit="1" customWidth="1"/>
    <col min="5" max="5" width="6.5" style="144" customWidth="1"/>
    <col min="6" max="8" width="10" style="144" customWidth="1"/>
    <col min="9" max="9" width="6.5" style="144" customWidth="1"/>
    <col min="10" max="10" width="74" style="144" bestFit="1" customWidth="1"/>
    <col min="11" max="13" width="10.83203125" style="144" customWidth="1"/>
    <col min="14" max="14" width="10.83203125" style="147" customWidth="1"/>
    <col min="15" max="21" width="7.5" style="144" customWidth="1"/>
    <col min="22" max="25" width="6.6640625" style="144" customWidth="1"/>
    <col min="26" max="16384" width="9.33203125" style="144"/>
  </cols>
  <sheetData>
    <row r="1" spans="1:21" ht="12.75" thickBot="1" x14ac:dyDescent="0.25">
      <c r="A1" s="70"/>
      <c r="B1" s="70"/>
      <c r="C1" s="157"/>
      <c r="D1" s="70"/>
      <c r="E1" s="70"/>
      <c r="F1" s="70"/>
      <c r="G1" s="70"/>
      <c r="H1" s="70"/>
      <c r="I1" s="70"/>
      <c r="J1" s="70"/>
      <c r="K1" s="70"/>
      <c r="L1" s="70"/>
      <c r="M1" s="70"/>
      <c r="N1" s="151"/>
    </row>
    <row r="2" spans="1:21" ht="16.5" thickBot="1" x14ac:dyDescent="0.3">
      <c r="A2" s="70"/>
      <c r="B2" s="49" t="s">
        <v>545</v>
      </c>
      <c r="C2" s="770"/>
      <c r="D2" s="810"/>
      <c r="E2" s="70"/>
      <c r="F2" s="737" t="s">
        <v>1024</v>
      </c>
      <c r="G2" s="738" t="s">
        <v>994</v>
      </c>
      <c r="H2" s="1658"/>
      <c r="I2" s="70"/>
      <c r="J2" s="254" t="s">
        <v>602</v>
      </c>
      <c r="K2" s="767"/>
      <c r="L2" s="831"/>
      <c r="M2" s="767"/>
      <c r="N2" s="836"/>
      <c r="O2" s="70"/>
      <c r="P2" s="70"/>
      <c r="Q2" s="70"/>
      <c r="R2" s="70"/>
      <c r="S2" s="70"/>
      <c r="T2" s="70"/>
      <c r="U2" s="70"/>
    </row>
    <row r="3" spans="1:21" x14ac:dyDescent="0.2">
      <c r="A3" s="70"/>
      <c r="B3" s="763" t="s">
        <v>1000</v>
      </c>
      <c r="C3" s="774" t="str">
        <f>'01_ALGEMEEN'!D241</f>
        <v>geschoord skelet</v>
      </c>
      <c r="D3" s="799"/>
      <c r="E3" s="70"/>
      <c r="F3" s="798">
        <v>10</v>
      </c>
      <c r="G3" s="749">
        <v>0.85</v>
      </c>
      <c r="H3" s="192" t="s">
        <v>16</v>
      </c>
      <c r="I3" s="70"/>
      <c r="J3" s="19"/>
      <c r="K3" s="833" t="s">
        <v>70</v>
      </c>
      <c r="L3" s="834" t="s">
        <v>569</v>
      </c>
      <c r="M3" s="835" t="s">
        <v>65</v>
      </c>
      <c r="N3" s="834" t="s">
        <v>569</v>
      </c>
      <c r="O3" s="70"/>
      <c r="P3" s="70"/>
      <c r="Q3" s="70"/>
      <c r="R3" s="70"/>
      <c r="S3" s="70"/>
      <c r="T3" s="70"/>
      <c r="U3" s="70"/>
    </row>
    <row r="4" spans="1:21" ht="12.75" x14ac:dyDescent="0.2">
      <c r="A4" s="70"/>
      <c r="B4" s="546" t="s">
        <v>1002</v>
      </c>
      <c r="C4" s="190" t="str">
        <f>'01_ALGEMEEN'!D242</f>
        <v>gewalst staal</v>
      </c>
      <c r="D4" s="799" t="str">
        <f>IF(C4&lt;&gt;"gewalst staal","-",'01_ALGEMEEN'!E242)</f>
        <v>gewalst staal S235</v>
      </c>
      <c r="E4" s="70"/>
      <c r="F4" s="798">
        <v>15</v>
      </c>
      <c r="G4" s="749">
        <v>0.98</v>
      </c>
      <c r="H4" s="192" t="s">
        <v>16</v>
      </c>
      <c r="I4" s="70"/>
      <c r="J4" s="1662" t="s">
        <v>431</v>
      </c>
      <c r="K4" s="190" t="str">
        <f>D4</f>
        <v>gewalst staal S235</v>
      </c>
      <c r="L4" s="192"/>
      <c r="M4" s="827" t="str">
        <f>D8</f>
        <v>gewalst staal S460</v>
      </c>
      <c r="N4" s="201"/>
      <c r="O4" s="70"/>
      <c r="P4" s="70"/>
      <c r="Q4" s="70"/>
      <c r="R4" s="70"/>
      <c r="S4" s="70"/>
      <c r="T4" s="70"/>
      <c r="U4" s="70"/>
    </row>
    <row r="5" spans="1:21" ht="12.75" x14ac:dyDescent="0.2">
      <c r="A5" s="70"/>
      <c r="B5" s="546" t="s">
        <v>522</v>
      </c>
      <c r="C5" s="190" t="str">
        <f>'01_ALGEMEEN'!D243</f>
        <v>windverbanden</v>
      </c>
      <c r="D5" s="799" t="str">
        <f>IF(C5&lt;&gt;"wanden","-",'01_ALGEMEEN'!E243)</f>
        <v>-</v>
      </c>
      <c r="E5" s="70"/>
      <c r="F5" s="798">
        <v>20</v>
      </c>
      <c r="G5" s="749">
        <v>1.07</v>
      </c>
      <c r="H5" s="192" t="s">
        <v>16</v>
      </c>
      <c r="I5" s="70"/>
      <c r="J5" s="854" t="s">
        <v>282</v>
      </c>
      <c r="K5" s="190">
        <f>IF(K4="-",0,VLOOKUP(K4,B51:C53,2,0))</f>
        <v>150000</v>
      </c>
      <c r="L5" s="192" t="s">
        <v>16</v>
      </c>
      <c r="M5" s="825">
        <f>IF(M4="-",0,VLOOKUP(M4,B51:C53,2,0))</f>
        <v>335000</v>
      </c>
      <c r="N5" s="192" t="s">
        <v>16</v>
      </c>
      <c r="O5" s="70"/>
      <c r="P5" s="70"/>
      <c r="Q5" s="70"/>
      <c r="R5" s="70"/>
      <c r="S5" s="70"/>
      <c r="T5" s="70"/>
      <c r="U5" s="70"/>
    </row>
    <row r="6" spans="1:21" x14ac:dyDescent="0.2">
      <c r="A6" s="70"/>
      <c r="B6" s="242"/>
      <c r="C6" s="190"/>
      <c r="D6" s="799"/>
      <c r="E6" s="70"/>
      <c r="F6" s="798">
        <v>25</v>
      </c>
      <c r="G6" s="749">
        <v>1.1399999999999999</v>
      </c>
      <c r="H6" s="192" t="s">
        <v>16</v>
      </c>
      <c r="I6" s="70"/>
      <c r="J6" s="854" t="s">
        <v>1004</v>
      </c>
      <c r="K6" s="812">
        <f>IF(K4="-",0,(C30*SQRT(2)/K5))</f>
        <v>3.516501532947406E-2</v>
      </c>
      <c r="L6" s="192" t="s">
        <v>81</v>
      </c>
      <c r="M6" s="823">
        <f>IF(M4="-",0,(C31*SQRT(2)/M5))</f>
        <v>2.1277742232436905E-2</v>
      </c>
      <c r="N6" s="192" t="s">
        <v>81</v>
      </c>
      <c r="O6" s="70"/>
      <c r="P6" s="70"/>
      <c r="Q6" s="70"/>
      <c r="R6" s="70"/>
      <c r="S6" s="70"/>
      <c r="T6" s="70"/>
      <c r="U6" s="70"/>
    </row>
    <row r="7" spans="1:21" x14ac:dyDescent="0.2">
      <c r="A7" s="70"/>
      <c r="B7" s="763" t="s">
        <v>1001</v>
      </c>
      <c r="C7" s="774" t="str">
        <f>'01_ALGEMEEN'!D256</f>
        <v>geschoord skelet</v>
      </c>
      <c r="D7" s="799"/>
      <c r="E7" s="70"/>
      <c r="F7" s="798">
        <v>30</v>
      </c>
      <c r="G7" s="749">
        <v>1.2</v>
      </c>
      <c r="H7" s="192" t="s">
        <v>16</v>
      </c>
      <c r="I7" s="70"/>
      <c r="J7" s="855" t="s">
        <v>1228</v>
      </c>
      <c r="K7" s="1651">
        <f>IF(K4="-",0,((K6*C13*SQRT(2)*C54*2*C55)/C15))</f>
        <v>1.8564734607854512</v>
      </c>
      <c r="L7" s="1652" t="s">
        <v>67</v>
      </c>
      <c r="M7" s="1668">
        <f>IF(M4="-",0,((M6*C13*SQRT(2)*C54*2*C55)/C15))</f>
        <v>1.1233199641703011</v>
      </c>
      <c r="N7" s="1652" t="s">
        <v>67</v>
      </c>
      <c r="O7" s="151"/>
      <c r="P7" s="151"/>
      <c r="Q7" s="151"/>
      <c r="R7" s="151"/>
      <c r="S7" s="151"/>
      <c r="T7" s="151"/>
      <c r="U7" s="151"/>
    </row>
    <row r="8" spans="1:21" ht="13.5" thickBot="1" x14ac:dyDescent="0.25">
      <c r="A8" s="70"/>
      <c r="B8" s="546" t="s">
        <v>1193</v>
      </c>
      <c r="C8" s="190" t="str">
        <f>'01_ALGEMEEN'!D257</f>
        <v>gewalst staal</v>
      </c>
      <c r="D8" s="799" t="str">
        <f>IF(C8&lt;&gt;"gewalst staal","-",'01_ALGEMEEN'!E257)</f>
        <v>gewalst staal S460</v>
      </c>
      <c r="E8" s="70"/>
      <c r="F8" s="242">
        <v>35</v>
      </c>
      <c r="G8" s="1653">
        <v>1.25</v>
      </c>
      <c r="H8" s="192" t="s">
        <v>16</v>
      </c>
      <c r="I8" s="70"/>
      <c r="J8" s="9"/>
      <c r="O8" s="151"/>
      <c r="P8" s="151"/>
      <c r="Q8" s="151"/>
      <c r="R8" s="151"/>
      <c r="S8" s="151"/>
      <c r="T8" s="151"/>
      <c r="U8" s="151"/>
    </row>
    <row r="9" spans="1:21" ht="13.5" thickBot="1" x14ac:dyDescent="0.25">
      <c r="A9" s="70"/>
      <c r="B9" s="546" t="s">
        <v>519</v>
      </c>
      <c r="C9" s="190" t="str">
        <f>'01_ALGEMEEN'!D258</f>
        <v>windverbanden</v>
      </c>
      <c r="D9" s="799" t="str">
        <f>IF(C9&lt;&gt;"wanden","-",'01_ALGEMEEN'!E258)</f>
        <v>-</v>
      </c>
      <c r="E9" s="70"/>
      <c r="F9" s="809">
        <v>40</v>
      </c>
      <c r="G9" s="162">
        <v>1.3</v>
      </c>
      <c r="H9" s="192" t="s">
        <v>16</v>
      </c>
      <c r="I9" s="70"/>
      <c r="J9" s="254" t="s">
        <v>603</v>
      </c>
      <c r="K9" s="767"/>
      <c r="L9" s="831"/>
      <c r="M9" s="767"/>
      <c r="N9" s="836"/>
      <c r="O9" s="156"/>
      <c r="P9" s="156"/>
      <c r="Q9" s="156"/>
      <c r="R9" s="156"/>
      <c r="S9" s="156"/>
      <c r="T9" s="156"/>
      <c r="U9" s="156"/>
    </row>
    <row r="10" spans="1:21" x14ac:dyDescent="0.2">
      <c r="A10" s="70"/>
      <c r="B10" s="242"/>
      <c r="C10" s="157"/>
      <c r="D10" s="243"/>
      <c r="E10" s="70"/>
      <c r="F10" s="242">
        <v>45</v>
      </c>
      <c r="G10" s="1653">
        <v>1.34</v>
      </c>
      <c r="H10" s="192" t="s">
        <v>16</v>
      </c>
      <c r="I10" s="70"/>
      <c r="J10" s="19"/>
      <c r="K10" s="833" t="s">
        <v>70</v>
      </c>
      <c r="L10" s="834" t="s">
        <v>569</v>
      </c>
      <c r="M10" s="833" t="s">
        <v>65</v>
      </c>
      <c r="N10" s="834" t="s">
        <v>569</v>
      </c>
      <c r="O10" s="151"/>
      <c r="P10" s="151"/>
      <c r="Q10" s="151"/>
      <c r="R10" s="151"/>
      <c r="S10" s="151"/>
      <c r="T10" s="151"/>
      <c r="U10" s="151"/>
    </row>
    <row r="11" spans="1:21" x14ac:dyDescent="0.2">
      <c r="A11" s="70"/>
      <c r="B11" s="737" t="s">
        <v>1003</v>
      </c>
      <c r="C11" s="807"/>
      <c r="D11" s="784"/>
      <c r="E11" s="70"/>
      <c r="F11" s="242">
        <v>50</v>
      </c>
      <c r="G11" s="1653">
        <v>1.38</v>
      </c>
      <c r="H11" s="192" t="s">
        <v>16</v>
      </c>
      <c r="I11" s="70"/>
      <c r="J11" s="922" t="s">
        <v>606</v>
      </c>
      <c r="K11" s="827" t="str">
        <f>C4</f>
        <v>gewalst staal</v>
      </c>
      <c r="L11" s="201"/>
      <c r="M11" s="827" t="str">
        <f>C8</f>
        <v>gewalst staal</v>
      </c>
      <c r="N11" s="923"/>
      <c r="O11" s="151"/>
      <c r="P11" s="151"/>
      <c r="Q11" s="151"/>
      <c r="R11" s="151"/>
      <c r="S11" s="151"/>
      <c r="T11" s="151"/>
      <c r="U11" s="151"/>
    </row>
    <row r="12" spans="1:21" ht="13.5" x14ac:dyDescent="0.2">
      <c r="A12" s="70"/>
      <c r="B12" s="765" t="s">
        <v>995</v>
      </c>
      <c r="C12" s="771">
        <f>'01_ALGEMEEN'!F52</f>
        <v>14</v>
      </c>
      <c r="D12" s="782"/>
      <c r="F12" s="242">
        <v>55</v>
      </c>
      <c r="G12" s="1653">
        <v>1.42</v>
      </c>
      <c r="H12" s="192" t="s">
        <v>16</v>
      </c>
      <c r="J12" s="15" t="s">
        <v>607</v>
      </c>
      <c r="K12" s="825" t="str">
        <f>IF(C5&lt;&gt;"wanden","0",IF(K11=$B$43,$C$43,IF(K11=$B$44,$C$44,0)))</f>
        <v>0</v>
      </c>
      <c r="L12" s="340" t="s">
        <v>596</v>
      </c>
      <c r="M12" s="825" t="str">
        <f>IF(C9&lt;&gt;"wanden","0",IF(M11=$B$43,$C$43,IF(M11=$B$44,$C$44,0)))</f>
        <v>0</v>
      </c>
      <c r="N12" s="78" t="s">
        <v>596</v>
      </c>
      <c r="O12" s="151"/>
      <c r="P12" s="151"/>
      <c r="Q12" s="151"/>
      <c r="R12" s="151"/>
      <c r="S12" s="151"/>
      <c r="T12" s="151"/>
      <c r="U12" s="151"/>
    </row>
    <row r="13" spans="1:21" x14ac:dyDescent="0.2">
      <c r="A13" s="70"/>
      <c r="B13" s="242" t="s">
        <v>996</v>
      </c>
      <c r="C13" s="808">
        <f>'01_ALGEMEEN'!F53</f>
        <v>64.5</v>
      </c>
      <c r="D13" s="243" t="s">
        <v>17</v>
      </c>
      <c r="F13" s="242">
        <v>60</v>
      </c>
      <c r="G13" s="1653">
        <v>1.45</v>
      </c>
      <c r="H13" s="192" t="s">
        <v>16</v>
      </c>
      <c r="J13" s="138" t="s">
        <v>1008</v>
      </c>
      <c r="K13" s="815" t="str">
        <f>IF(C5&lt;&gt;"wanden","0",((125*C32*C13^3)/K12))</f>
        <v>0</v>
      </c>
      <c r="L13" s="340" t="s">
        <v>284</v>
      </c>
      <c r="M13" s="1655" t="str">
        <f>IF(C9&lt;&gt;"wanden","0",((125*C33*C13^3)/M12))</f>
        <v>0</v>
      </c>
      <c r="N13" s="78" t="s">
        <v>284</v>
      </c>
      <c r="O13" s="151"/>
      <c r="P13" s="151"/>
      <c r="Q13" s="151"/>
      <c r="R13" s="151"/>
      <c r="S13" s="151"/>
      <c r="T13" s="151"/>
      <c r="U13" s="151"/>
    </row>
    <row r="14" spans="1:21" x14ac:dyDescent="0.2">
      <c r="A14" s="70"/>
      <c r="B14" s="242" t="s">
        <v>997</v>
      </c>
      <c r="C14" s="808">
        <f>CEILING(C13,5)</f>
        <v>65</v>
      </c>
      <c r="D14" s="243" t="s">
        <v>17</v>
      </c>
      <c r="F14" s="242">
        <v>65</v>
      </c>
      <c r="G14" s="1653">
        <v>1.48</v>
      </c>
      <c r="H14" s="192" t="s">
        <v>16</v>
      </c>
      <c r="J14" s="15"/>
      <c r="K14" s="242"/>
      <c r="L14" s="192"/>
      <c r="M14" s="242"/>
      <c r="N14" s="25"/>
      <c r="O14" s="151"/>
      <c r="P14" s="151"/>
      <c r="Q14" s="151"/>
      <c r="R14" s="151"/>
      <c r="S14" s="151"/>
      <c r="T14" s="151"/>
      <c r="U14" s="151"/>
    </row>
    <row r="15" spans="1:21" x14ac:dyDescent="0.2">
      <c r="A15" s="70"/>
      <c r="B15" s="768" t="s">
        <v>641</v>
      </c>
      <c r="C15" s="771">
        <f>'01_ALGEMEEN'!F51</f>
        <v>16276</v>
      </c>
      <c r="D15" s="783" t="s">
        <v>81</v>
      </c>
      <c r="F15" s="242">
        <v>70</v>
      </c>
      <c r="G15" s="1653">
        <v>1.5</v>
      </c>
      <c r="H15" s="192" t="s">
        <v>16</v>
      </c>
      <c r="J15" s="15" t="s">
        <v>608</v>
      </c>
      <c r="K15" s="829" t="str">
        <f>IF(C5&lt;&gt;"wanden","0",IF(D5="1 wand",1,IF(D5="2 wanden",2,IF(D5="3 wanden",3,IF(D5="4 wanden",4,)))))</f>
        <v>0</v>
      </c>
      <c r="L15" s="192"/>
      <c r="M15" s="829" t="str">
        <f>IF(C9&lt;&gt;"wanden","0",IF(D9="1 wand",1,IF(D9="2 wanden",2,IF(D9="3 wanden",3,IF(D9="4 wanden",4,)))))</f>
        <v>0</v>
      </c>
      <c r="N15" s="17"/>
      <c r="O15" s="27"/>
      <c r="P15" s="27"/>
      <c r="Q15" s="27"/>
      <c r="R15" s="27"/>
      <c r="S15" s="27"/>
      <c r="T15" s="27"/>
      <c r="U15" s="27"/>
    </row>
    <row r="16" spans="1:21" x14ac:dyDescent="0.2">
      <c r="A16" s="70"/>
      <c r="B16" s="242"/>
      <c r="C16" s="190"/>
      <c r="D16" s="243"/>
      <c r="F16" s="244">
        <v>75</v>
      </c>
      <c r="G16" s="1654">
        <v>1.53</v>
      </c>
      <c r="H16" s="202" t="s">
        <v>16</v>
      </c>
      <c r="J16" s="15" t="s">
        <v>599</v>
      </c>
      <c r="K16" s="830" t="str">
        <f>IF(C5&lt;&gt;"wanden","0",(VLOOKUP(K15,F33:G36,2,0)))</f>
        <v>0</v>
      </c>
      <c r="L16" s="192"/>
      <c r="M16" s="830" t="str">
        <f>IF(C9&lt;&gt;"wanden","0",(VLOOKUP(M15,F33:G36,2,0)))</f>
        <v>0</v>
      </c>
      <c r="N16" s="17"/>
      <c r="O16" s="151"/>
      <c r="P16" s="151"/>
      <c r="Q16" s="151"/>
      <c r="R16" s="151"/>
      <c r="S16" s="151"/>
      <c r="T16" s="151"/>
      <c r="U16" s="151"/>
    </row>
    <row r="17" spans="1:25" x14ac:dyDescent="0.2">
      <c r="A17" s="70"/>
      <c r="B17" s="29" t="s">
        <v>989</v>
      </c>
      <c r="C17" s="190">
        <f>'01_ALGEMEEN'!F13</f>
        <v>10</v>
      </c>
      <c r="D17" s="25" t="s">
        <v>17</v>
      </c>
      <c r="J17" s="1180" t="s">
        <v>1009</v>
      </c>
      <c r="K17" s="1657" t="str">
        <f>IF(C5&lt;&gt;"wanden","0",(K13/(K16*C48))^(1/3))</f>
        <v>0</v>
      </c>
      <c r="L17" s="832" t="s">
        <v>17</v>
      </c>
      <c r="M17" s="1657" t="str">
        <f>IF(C9&lt;&gt;"wanden","0",(M13/(M16*C48))^(1/3))</f>
        <v>0</v>
      </c>
      <c r="N17" s="78" t="s">
        <v>17</v>
      </c>
      <c r="O17" s="151"/>
      <c r="P17" s="151"/>
      <c r="Q17" s="151"/>
      <c r="R17" s="151"/>
      <c r="S17" s="151"/>
      <c r="T17" s="151"/>
      <c r="U17" s="151"/>
    </row>
    <row r="18" spans="1:25" x14ac:dyDescent="0.2">
      <c r="A18" s="70"/>
      <c r="B18" s="763" t="s">
        <v>990</v>
      </c>
      <c r="C18" s="191">
        <f>'01_ALGEMEEN'!E13</f>
        <v>5</v>
      </c>
      <c r="D18" s="782" t="s">
        <v>538</v>
      </c>
      <c r="F18" s="737" t="s">
        <v>1023</v>
      </c>
      <c r="G18" s="739"/>
      <c r="H18" s="1658"/>
      <c r="J18" s="15" t="s">
        <v>1012</v>
      </c>
      <c r="K18" s="816" t="str">
        <f>IF(C5&lt;&gt;"wanden","0",K17*K15*C48*C13)</f>
        <v>0</v>
      </c>
      <c r="L18" s="340" t="s">
        <v>230</v>
      </c>
      <c r="M18" s="816" t="str">
        <f>IF(C9&lt;&gt;"wanden","0",M17*M15*C48*C13)</f>
        <v>0</v>
      </c>
      <c r="N18" s="78" t="s">
        <v>230</v>
      </c>
      <c r="O18" s="151"/>
      <c r="P18" s="151"/>
      <c r="Q18" s="151"/>
      <c r="R18" s="151"/>
      <c r="S18" s="151"/>
      <c r="T18" s="151"/>
      <c r="U18" s="151"/>
    </row>
    <row r="19" spans="1:25" x14ac:dyDescent="0.2">
      <c r="A19" s="70"/>
      <c r="B19" s="29" t="s">
        <v>991</v>
      </c>
      <c r="C19" s="190">
        <f>'01_ALGEMEEN'!F14</f>
        <v>3.7</v>
      </c>
      <c r="D19" s="25" t="s">
        <v>17</v>
      </c>
      <c r="F19" s="798">
        <v>15</v>
      </c>
      <c r="G19" s="70">
        <v>200</v>
      </c>
      <c r="H19" s="243" t="s">
        <v>130</v>
      </c>
      <c r="J19" s="138" t="s">
        <v>1225</v>
      </c>
      <c r="K19" s="1657" t="str">
        <f>IF(C5&lt;&gt;"wanden","0",(K18*C46)/C15)</f>
        <v>0</v>
      </c>
      <c r="L19" s="340" t="s">
        <v>67</v>
      </c>
      <c r="M19" s="1657" t="str">
        <f>IF(C9&lt;&gt;"wanden","0",(M18*C46)/C15)</f>
        <v>0</v>
      </c>
      <c r="N19" s="78" t="s">
        <v>67</v>
      </c>
      <c r="O19" s="151"/>
      <c r="P19" s="151"/>
      <c r="Q19" s="151"/>
      <c r="R19" s="151"/>
      <c r="S19" s="151"/>
      <c r="T19" s="151"/>
      <c r="U19" s="151"/>
    </row>
    <row r="20" spans="1:25" x14ac:dyDescent="0.2">
      <c r="A20" s="70"/>
      <c r="B20" s="763" t="s">
        <v>992</v>
      </c>
      <c r="C20" s="190">
        <f>'01_ALGEMEEN'!E14</f>
        <v>9</v>
      </c>
      <c r="D20" s="782" t="s">
        <v>538</v>
      </c>
      <c r="F20" s="798">
        <v>50</v>
      </c>
      <c r="G20" s="70">
        <v>300</v>
      </c>
      <c r="H20" s="243" t="s">
        <v>130</v>
      </c>
      <c r="J20" s="1214" t="s">
        <v>1034</v>
      </c>
      <c r="K20" s="1656" t="str">
        <f>IF(C5&lt;&gt;"wanden","0",K18*C45/C15)</f>
        <v>0</v>
      </c>
      <c r="L20" s="341" t="s">
        <v>67</v>
      </c>
      <c r="M20" s="1656" t="str">
        <f>IF(C9&lt;&gt;"wanden","0",M18*C45/C15)</f>
        <v>0</v>
      </c>
      <c r="N20" s="69" t="s">
        <v>67</v>
      </c>
      <c r="O20" s="151"/>
      <c r="P20" s="151"/>
      <c r="Q20" s="151"/>
      <c r="R20" s="151"/>
      <c r="S20" s="151"/>
      <c r="T20" s="151"/>
      <c r="U20" s="151"/>
    </row>
    <row r="21" spans="1:25" x14ac:dyDescent="0.2">
      <c r="A21" s="70"/>
      <c r="B21" s="242"/>
      <c r="C21" s="157"/>
      <c r="D21" s="243"/>
      <c r="F21" s="798">
        <v>150</v>
      </c>
      <c r="G21" s="70">
        <v>400</v>
      </c>
      <c r="H21" s="243" t="s">
        <v>130</v>
      </c>
      <c r="J21" s="70"/>
      <c r="K21" s="70"/>
      <c r="L21" s="70"/>
      <c r="M21" s="70"/>
      <c r="N21" s="151"/>
      <c r="O21" s="151"/>
      <c r="P21" s="151"/>
      <c r="Q21" s="151"/>
      <c r="R21" s="151"/>
      <c r="S21" s="151"/>
      <c r="T21" s="151"/>
      <c r="U21" s="151"/>
    </row>
    <row r="22" spans="1:25" x14ac:dyDescent="0.2">
      <c r="A22" s="70"/>
      <c r="B22" s="763" t="s">
        <v>988</v>
      </c>
      <c r="C22" s="186">
        <f>C17*(C18-1)</f>
        <v>40</v>
      </c>
      <c r="D22" s="243" t="s">
        <v>17</v>
      </c>
      <c r="F22" s="798">
        <v>200</v>
      </c>
      <c r="G22" s="70">
        <v>450</v>
      </c>
      <c r="H22" s="243" t="s">
        <v>130</v>
      </c>
      <c r="J22" s="70"/>
      <c r="K22" s="157"/>
      <c r="L22" s="33"/>
      <c r="M22" s="157"/>
      <c r="N22" s="33"/>
      <c r="O22" s="70"/>
      <c r="P22" s="70"/>
      <c r="Q22" s="70"/>
      <c r="R22" s="70"/>
      <c r="S22" s="70"/>
      <c r="T22" s="70"/>
      <c r="U22" s="70"/>
    </row>
    <row r="23" spans="1:25" ht="12.75" thickBot="1" x14ac:dyDescent="0.25">
      <c r="A23" s="70"/>
      <c r="B23" s="244" t="s">
        <v>1227</v>
      </c>
      <c r="C23" s="1659">
        <f>C19*(C20-1)</f>
        <v>29.6</v>
      </c>
      <c r="D23" s="246" t="s">
        <v>17</v>
      </c>
      <c r="F23" s="800">
        <v>250</v>
      </c>
      <c r="G23" s="245">
        <v>500</v>
      </c>
      <c r="H23" s="246" t="s">
        <v>130</v>
      </c>
      <c r="K23" s="187"/>
      <c r="L23" s="10"/>
      <c r="M23" s="187"/>
      <c r="N23" s="10"/>
      <c r="Y23" s="147"/>
    </row>
    <row r="24" spans="1:25" ht="12.75" customHeight="1" thickBot="1" x14ac:dyDescent="0.25">
      <c r="A24" s="70"/>
      <c r="B24" s="70"/>
      <c r="C24" s="157"/>
      <c r="D24" s="70"/>
      <c r="F24" s="70"/>
      <c r="G24" s="70"/>
      <c r="H24" s="243"/>
      <c r="J24" s="254" t="s">
        <v>601</v>
      </c>
      <c r="K24" s="767"/>
      <c r="L24" s="831"/>
      <c r="M24" s="767"/>
      <c r="N24" s="831"/>
      <c r="O24" s="255"/>
      <c r="P24" s="255"/>
      <c r="Q24" s="255"/>
      <c r="R24" s="255"/>
      <c r="S24" s="255"/>
      <c r="T24" s="255"/>
      <c r="U24" s="256"/>
    </row>
    <row r="25" spans="1:25" x14ac:dyDescent="0.2">
      <c r="A25" s="70"/>
      <c r="B25" s="737" t="s">
        <v>587</v>
      </c>
      <c r="C25" s="807"/>
      <c r="D25" s="784"/>
      <c r="F25" s="1193" t="s">
        <v>617</v>
      </c>
      <c r="G25" s="240"/>
      <c r="H25" s="241" t="s">
        <v>0</v>
      </c>
      <c r="J25" s="242" t="s">
        <v>1028</v>
      </c>
      <c r="K25" s="190">
        <f>IF(C5="kern",C4,0)</f>
        <v>0</v>
      </c>
      <c r="L25" s="70">
        <f>VLOOKUP(K25,$F$25:$H$30,3,0)</f>
        <v>0</v>
      </c>
      <c r="M25" s="157"/>
      <c r="N25" s="821"/>
      <c r="O25" s="64"/>
      <c r="P25" s="64"/>
      <c r="Q25" s="64"/>
      <c r="R25" s="64"/>
      <c r="S25" s="64"/>
      <c r="T25" s="64"/>
      <c r="U25" s="78"/>
    </row>
    <row r="26" spans="1:25" x14ac:dyDescent="0.2">
      <c r="A26" s="70"/>
      <c r="B26" s="242" t="s">
        <v>994</v>
      </c>
      <c r="C26" s="190">
        <f>IF(C14&lt;F3,G3,VLOOKUP(C14,F3:G16,2,0))</f>
        <v>1.48</v>
      </c>
      <c r="D26" s="243" t="s">
        <v>16</v>
      </c>
      <c r="F26" s="138" t="s">
        <v>88</v>
      </c>
      <c r="G26" s="70"/>
      <c r="H26" s="243" t="s">
        <v>0</v>
      </c>
      <c r="J26" s="242" t="s">
        <v>1029</v>
      </c>
      <c r="K26" s="190">
        <f>IF(C9="kern",C8,0)</f>
        <v>0</v>
      </c>
      <c r="L26" s="70">
        <f>VLOOKUP(K26,$F$25:$H$30,3,0)</f>
        <v>0</v>
      </c>
      <c r="M26" s="70"/>
      <c r="N26" s="151"/>
      <c r="O26" s="70"/>
      <c r="P26" s="64"/>
      <c r="Q26" s="64"/>
      <c r="R26" s="64"/>
      <c r="S26" s="64"/>
      <c r="T26" s="64"/>
      <c r="U26" s="78"/>
    </row>
    <row r="27" spans="1:25" ht="13.5" x14ac:dyDescent="0.25">
      <c r="A27" s="70"/>
      <c r="B27" s="242" t="s">
        <v>597</v>
      </c>
      <c r="C27" s="157">
        <v>1.2</v>
      </c>
      <c r="D27" s="243"/>
      <c r="F27" s="432" t="s">
        <v>216</v>
      </c>
      <c r="G27" s="70"/>
      <c r="H27" s="243" t="s">
        <v>2</v>
      </c>
      <c r="J27" s="138" t="s">
        <v>466</v>
      </c>
      <c r="K27" s="774" t="b">
        <f>IF(AND(C5="kern",L25="beton"),K25,IF(AND(C9="kern",L26="beton"),K26))</f>
        <v>0</v>
      </c>
      <c r="L27" s="70"/>
      <c r="M27" s="70"/>
      <c r="N27" s="151"/>
      <c r="O27" s="70"/>
      <c r="P27" s="70"/>
      <c r="Q27" s="70"/>
      <c r="R27" s="70"/>
      <c r="S27" s="70"/>
      <c r="T27" s="70"/>
      <c r="U27" s="243"/>
      <c r="V27" s="147"/>
    </row>
    <row r="28" spans="1:25" ht="13.5" x14ac:dyDescent="0.2">
      <c r="A28" s="70"/>
      <c r="B28" s="242" t="s">
        <v>993</v>
      </c>
      <c r="C28" s="157">
        <v>1.1000000000000001</v>
      </c>
      <c r="D28" s="243"/>
      <c r="F28" s="432" t="s">
        <v>217</v>
      </c>
      <c r="G28" s="70"/>
      <c r="H28" s="243" t="s">
        <v>2</v>
      </c>
      <c r="J28" s="242" t="s">
        <v>600</v>
      </c>
      <c r="K28" s="190">
        <f>IF(K27=$B$43,$C$43,IF(K27=$B$44,$C$44,0))</f>
        <v>0</v>
      </c>
      <c r="L28" s="53" t="s">
        <v>596</v>
      </c>
      <c r="M28" s="70"/>
      <c r="N28" s="151"/>
      <c r="O28" s="70"/>
      <c r="P28" s="70"/>
      <c r="Q28" s="70"/>
      <c r="R28" s="70"/>
      <c r="S28" s="70"/>
      <c r="T28" s="70"/>
      <c r="U28" s="243"/>
    </row>
    <row r="29" spans="1:25" s="147" customFormat="1" ht="12.75" x14ac:dyDescent="0.2">
      <c r="A29" s="151"/>
      <c r="B29" s="242" t="s">
        <v>1007</v>
      </c>
      <c r="C29" s="808">
        <f>C26*C27*C28</f>
        <v>1.9536000000000002</v>
      </c>
      <c r="D29" s="243" t="s">
        <v>16</v>
      </c>
      <c r="F29" s="432" t="s">
        <v>766</v>
      </c>
      <c r="G29" s="151"/>
      <c r="H29" s="243" t="s">
        <v>2</v>
      </c>
      <c r="J29" s="242" t="s">
        <v>354</v>
      </c>
      <c r="K29" s="191">
        <f>'01_ALGEMEEN'!D245</f>
        <v>1</v>
      </c>
      <c r="L29" s="151" t="s">
        <v>654</v>
      </c>
      <c r="M29" s="157"/>
      <c r="N29" s="821"/>
      <c r="O29" s="64"/>
      <c r="P29" s="64"/>
      <c r="Q29" s="64"/>
      <c r="R29" s="64"/>
      <c r="S29" s="64"/>
      <c r="T29" s="64"/>
      <c r="U29" s="78"/>
      <c r="V29" s="144"/>
      <c r="Y29" s="144"/>
    </row>
    <row r="30" spans="1:25" x14ac:dyDescent="0.2">
      <c r="A30" s="70"/>
      <c r="B30" s="242" t="s">
        <v>1229</v>
      </c>
      <c r="C30" s="191">
        <f>C29*C23*C13</f>
        <v>3729.8131200000007</v>
      </c>
      <c r="D30" s="243" t="s">
        <v>82</v>
      </c>
      <c r="F30" s="244">
        <v>0</v>
      </c>
      <c r="G30" s="245"/>
      <c r="H30" s="246">
        <v>0</v>
      </c>
      <c r="J30" s="242"/>
      <c r="K30" s="70"/>
      <c r="L30" s="53"/>
      <c r="M30" s="808"/>
      <c r="N30" s="70"/>
      <c r="O30" s="70"/>
      <c r="P30" s="70"/>
      <c r="Q30" s="70"/>
      <c r="R30" s="70"/>
      <c r="S30" s="70"/>
      <c r="T30" s="70"/>
      <c r="U30" s="243"/>
    </row>
    <row r="31" spans="1:25" x14ac:dyDescent="0.2">
      <c r="A31" s="70"/>
      <c r="B31" s="242" t="s">
        <v>1230</v>
      </c>
      <c r="C31" s="191">
        <f>C29*C22*C13</f>
        <v>5040.2880000000005</v>
      </c>
      <c r="D31" s="243" t="s">
        <v>82</v>
      </c>
      <c r="J31" s="818" t="s">
        <v>1026</v>
      </c>
      <c r="K31" s="797" t="e">
        <f>($C$32*C$13^3*125)/$K$28</f>
        <v>#DIV/0!</v>
      </c>
      <c r="L31" s="53" t="s">
        <v>284</v>
      </c>
      <c r="M31" s="157"/>
      <c r="N31" s="33"/>
      <c r="O31" s="64"/>
      <c r="P31" s="64"/>
      <c r="Q31" s="64"/>
      <c r="R31" s="64"/>
      <c r="S31" s="64"/>
      <c r="T31" s="64"/>
      <c r="U31" s="78"/>
    </row>
    <row r="32" spans="1:25" x14ac:dyDescent="0.2">
      <c r="A32" s="70"/>
      <c r="B32" s="242" t="s">
        <v>998</v>
      </c>
      <c r="C32" s="847">
        <f>$C$29*$C$23</f>
        <v>57.826560000000008</v>
      </c>
      <c r="D32" s="78" t="s">
        <v>269</v>
      </c>
      <c r="F32" s="826" t="s">
        <v>598</v>
      </c>
      <c r="G32" s="1665" t="s">
        <v>599</v>
      </c>
      <c r="H32" s="241"/>
      <c r="J32" s="818" t="s">
        <v>1025</v>
      </c>
      <c r="K32" s="797" t="e">
        <f>($C$33*C$13^3*125)/$K$28</f>
        <v>#DIV/0!</v>
      </c>
      <c r="L32" s="53" t="s">
        <v>284</v>
      </c>
      <c r="M32" s="70"/>
      <c r="N32" s="151"/>
      <c r="O32" s="70"/>
      <c r="P32" s="70"/>
      <c r="Q32" s="70"/>
      <c r="R32" s="70"/>
      <c r="S32" s="70"/>
      <c r="T32" s="70"/>
      <c r="U32" s="243"/>
    </row>
    <row r="33" spans="1:24" ht="24" x14ac:dyDescent="0.2">
      <c r="A33" s="70"/>
      <c r="B33" s="242" t="s">
        <v>999</v>
      </c>
      <c r="C33" s="847">
        <f>$C$29*$C$22</f>
        <v>78.144000000000005</v>
      </c>
      <c r="D33" s="78" t="s">
        <v>269</v>
      </c>
      <c r="F33" s="1663">
        <v>1</v>
      </c>
      <c r="G33" s="1666">
        <v>8.3333333333333301E-2</v>
      </c>
      <c r="H33" s="243"/>
      <c r="J33" s="1670" t="s">
        <v>1226</v>
      </c>
      <c r="K33" s="1675">
        <f t="shared" ref="K33:T33" si="0">$K$29/12 * K34^4-(1/12*((K34-2*$C$48)*((K34-2*$C$48)^3)))</f>
        <v>4.7978666666666658</v>
      </c>
      <c r="L33" s="1675">
        <f t="shared" si="0"/>
        <v>12.595199999999997</v>
      </c>
      <c r="M33" s="1675">
        <f t="shared" si="0"/>
        <v>26.152533333333324</v>
      </c>
      <c r="N33" s="1675">
        <f t="shared" si="0"/>
        <v>47.069866666666648</v>
      </c>
      <c r="O33" s="1675">
        <f t="shared" si="0"/>
        <v>76.947199999999953</v>
      </c>
      <c r="P33" s="1675">
        <f t="shared" si="0"/>
        <v>117.38453333333328</v>
      </c>
      <c r="Q33" s="1675">
        <f t="shared" si="0"/>
        <v>169.98186666666675</v>
      </c>
      <c r="R33" s="1675">
        <f t="shared" si="0"/>
        <v>236.33920000000012</v>
      </c>
      <c r="S33" s="1675">
        <f t="shared" si="0"/>
        <v>416.73386666666715</v>
      </c>
      <c r="T33" s="1675">
        <f t="shared" si="0"/>
        <v>830.52586666666775</v>
      </c>
      <c r="U33" s="1039" t="s">
        <v>284</v>
      </c>
    </row>
    <row r="34" spans="1:24" x14ac:dyDescent="0.2">
      <c r="A34" s="70"/>
      <c r="B34" s="242"/>
      <c r="C34" s="157"/>
      <c r="D34" s="243"/>
      <c r="F34" s="1663">
        <v>2</v>
      </c>
      <c r="G34" s="1666">
        <v>0.16666666666666666</v>
      </c>
      <c r="H34" s="243"/>
      <c r="J34" s="1671" t="s">
        <v>1027</v>
      </c>
      <c r="K34" s="1672">
        <v>3</v>
      </c>
      <c r="L34" s="1672">
        <v>4</v>
      </c>
      <c r="M34" s="1672">
        <v>5</v>
      </c>
      <c r="N34" s="1672">
        <v>6</v>
      </c>
      <c r="O34" s="1672">
        <v>7</v>
      </c>
      <c r="P34" s="1672">
        <v>8</v>
      </c>
      <c r="Q34" s="1672">
        <v>9</v>
      </c>
      <c r="R34" s="1672">
        <v>10</v>
      </c>
      <c r="S34" s="1671">
        <v>12</v>
      </c>
      <c r="T34" s="1672">
        <v>15</v>
      </c>
      <c r="U34" s="793" t="s">
        <v>17</v>
      </c>
    </row>
    <row r="35" spans="1:24" x14ac:dyDescent="0.2">
      <c r="A35" s="70"/>
      <c r="B35" s="242"/>
      <c r="C35" s="157"/>
      <c r="D35" s="243"/>
      <c r="F35" s="1663">
        <v>3</v>
      </c>
      <c r="G35" s="1666">
        <v>0.25</v>
      </c>
      <c r="H35" s="243"/>
      <c r="J35" s="809" t="s">
        <v>1031</v>
      </c>
      <c r="K35" s="234" t="e">
        <f>IF($K$31&lt;$K$33,$K$34,HLOOKUP(K31,$K$33:$T$34,2,TRUE))</f>
        <v>#DIV/0!</v>
      </c>
      <c r="L35" s="70" t="s">
        <v>17</v>
      </c>
      <c r="M35" s="33"/>
      <c r="N35" s="33"/>
      <c r="O35" s="157"/>
      <c r="P35" s="157"/>
      <c r="Q35" s="157"/>
      <c r="R35" s="157"/>
      <c r="S35" s="157"/>
      <c r="T35" s="157"/>
      <c r="U35" s="1660"/>
    </row>
    <row r="36" spans="1:24" x14ac:dyDescent="0.2">
      <c r="A36" s="70"/>
      <c r="B36" s="737" t="s">
        <v>604</v>
      </c>
      <c r="C36" s="807"/>
      <c r="D36" s="784"/>
      <c r="F36" s="1664">
        <v>4</v>
      </c>
      <c r="G36" s="1667">
        <v>0.33333333333333331</v>
      </c>
      <c r="H36" s="246"/>
      <c r="J36" s="809" t="s">
        <v>1030</v>
      </c>
      <c r="K36" s="234" t="e">
        <f>IF($K$32&lt;$K$33,$K$34,HLOOKUP(K32,$K$33:$T$34,2,TRUE))</f>
        <v>#DIV/0!</v>
      </c>
      <c r="L36" s="70" t="s">
        <v>17</v>
      </c>
      <c r="M36" s="70"/>
      <c r="N36" s="151"/>
      <c r="O36" s="64"/>
      <c r="P36" s="70"/>
      <c r="Q36" s="70"/>
      <c r="R36" s="70"/>
      <c r="S36" s="70"/>
      <c r="T36" s="70"/>
      <c r="U36" s="243"/>
    </row>
    <row r="37" spans="1:24" x14ac:dyDescent="0.2">
      <c r="A37" s="70"/>
      <c r="B37" s="806" t="s">
        <v>410</v>
      </c>
      <c r="C37" s="157"/>
      <c r="D37" s="243"/>
      <c r="J37" s="1678" t="s">
        <v>1035</v>
      </c>
      <c r="K37" s="1669" t="e">
        <f>K35*K36-(K35-2*C48)*(K36-2*C48)*K29</f>
        <v>#DIV/0!</v>
      </c>
      <c r="L37" s="1679" t="s">
        <v>81</v>
      </c>
      <c r="M37" s="70"/>
      <c r="N37" s="151"/>
      <c r="O37" s="70"/>
      <c r="P37" s="70"/>
      <c r="Q37" s="70"/>
      <c r="R37" s="70"/>
      <c r="S37" s="70"/>
      <c r="T37" s="70"/>
      <c r="U37" s="243"/>
    </row>
    <row r="38" spans="1:24" x14ac:dyDescent="0.2">
      <c r="A38" s="70"/>
      <c r="B38" s="242" t="s">
        <v>617</v>
      </c>
      <c r="C38" s="157">
        <v>28500000</v>
      </c>
      <c r="D38" s="243" t="s">
        <v>16</v>
      </c>
      <c r="J38" s="1678" t="s">
        <v>1032</v>
      </c>
      <c r="K38" s="1683" t="e">
        <f>K37*C13</f>
        <v>#DIV/0!</v>
      </c>
      <c r="L38" s="1680" t="s">
        <v>230</v>
      </c>
      <c r="M38" s="157"/>
      <c r="N38" s="33"/>
      <c r="O38" s="70"/>
      <c r="P38" s="70"/>
      <c r="Q38" s="70"/>
      <c r="R38" s="70"/>
      <c r="S38" s="70"/>
      <c r="T38" s="70"/>
      <c r="U38" s="243"/>
    </row>
    <row r="39" spans="1:24" x14ac:dyDescent="0.2">
      <c r="A39" s="70"/>
      <c r="B39" s="242" t="s">
        <v>88</v>
      </c>
      <c r="C39" s="157">
        <v>38500000</v>
      </c>
      <c r="D39" s="243" t="s">
        <v>16</v>
      </c>
      <c r="J39" s="1681" t="s">
        <v>1033</v>
      </c>
      <c r="K39" s="1684" t="e">
        <f>(K38*$C$46)/$C$15</f>
        <v>#DIV/0!</v>
      </c>
      <c r="L39" s="1682" t="s">
        <v>67</v>
      </c>
      <c r="M39" s="157"/>
      <c r="N39" s="33"/>
      <c r="O39" s="70"/>
      <c r="P39" s="70"/>
      <c r="Q39" s="70"/>
      <c r="R39" s="70"/>
      <c r="S39" s="70"/>
      <c r="T39" s="70"/>
      <c r="U39" s="243"/>
    </row>
    <row r="40" spans="1:24" x14ac:dyDescent="0.2">
      <c r="A40" s="70"/>
      <c r="B40" s="806" t="s">
        <v>600</v>
      </c>
      <c r="C40" s="157"/>
      <c r="D40" s="1660"/>
      <c r="I40" s="70"/>
      <c r="J40" s="1681" t="s">
        <v>1034</v>
      </c>
      <c r="K40" s="1684" t="e">
        <f>K38*$C$45/$C$15</f>
        <v>#DIV/0!</v>
      </c>
      <c r="L40" s="1682" t="s">
        <v>67</v>
      </c>
      <c r="M40" s="157"/>
      <c r="N40" s="33"/>
      <c r="O40" s="70"/>
      <c r="P40" s="70"/>
      <c r="Q40" s="70"/>
      <c r="R40" s="70"/>
      <c r="S40" s="70"/>
      <c r="T40" s="70"/>
      <c r="U40" s="243"/>
      <c r="V40" s="70"/>
      <c r="W40" s="70"/>
      <c r="X40" s="70"/>
    </row>
    <row r="41" spans="1:24" x14ac:dyDescent="0.2">
      <c r="A41" s="824" t="s">
        <v>523</v>
      </c>
      <c r="B41" s="138" t="s">
        <v>411</v>
      </c>
      <c r="C41" s="130">
        <v>0.33</v>
      </c>
      <c r="D41" s="911"/>
      <c r="E41" s="813"/>
      <c r="F41" s="813"/>
      <c r="G41" s="813"/>
      <c r="H41" s="813"/>
      <c r="I41" s="824"/>
      <c r="J41" s="996"/>
      <c r="K41" s="157"/>
      <c r="L41" s="33"/>
      <c r="M41" s="157"/>
      <c r="N41" s="33"/>
      <c r="O41" s="70"/>
      <c r="P41" s="70"/>
      <c r="Q41" s="70"/>
      <c r="R41" s="70"/>
      <c r="S41" s="70"/>
      <c r="T41" s="70"/>
      <c r="U41" s="243"/>
      <c r="V41" s="70"/>
      <c r="W41" s="70"/>
      <c r="X41" s="70"/>
    </row>
    <row r="42" spans="1:24" x14ac:dyDescent="0.2">
      <c r="A42" s="70"/>
      <c r="B42" s="138" t="s">
        <v>412</v>
      </c>
      <c r="C42" s="130">
        <v>0.8</v>
      </c>
      <c r="D42" s="243"/>
      <c r="I42" s="70"/>
      <c r="J42" s="806" t="s">
        <v>1039</v>
      </c>
      <c r="K42" s="70"/>
      <c r="L42" s="70"/>
      <c r="M42" s="157"/>
      <c r="N42" s="33"/>
      <c r="O42" s="70"/>
      <c r="P42" s="70"/>
      <c r="Q42" s="70"/>
      <c r="R42" s="70"/>
      <c r="S42" s="70"/>
      <c r="T42" s="70"/>
      <c r="U42" s="243"/>
      <c r="V42" s="70"/>
      <c r="W42" s="70"/>
      <c r="X42" s="70"/>
    </row>
    <row r="43" spans="1:24" ht="13.5" x14ac:dyDescent="0.2">
      <c r="A43" s="70"/>
      <c r="B43" s="138" t="s">
        <v>617</v>
      </c>
      <c r="C43" s="774">
        <f>C38*C41*C42</f>
        <v>7524000</v>
      </c>
      <c r="D43" s="78" t="s">
        <v>596</v>
      </c>
      <c r="I43" s="70"/>
      <c r="J43" s="1180" t="s">
        <v>1037</v>
      </c>
      <c r="K43" s="190">
        <f>IF(C5="kern",2*K35*$C$48*$K$29,0)</f>
        <v>0</v>
      </c>
      <c r="L43" s="70" t="s">
        <v>81</v>
      </c>
      <c r="M43" s="157"/>
      <c r="N43" s="33"/>
      <c r="O43" s="70"/>
      <c r="P43" s="70"/>
      <c r="Q43" s="70"/>
      <c r="R43" s="70"/>
      <c r="S43" s="70"/>
      <c r="T43" s="70"/>
      <c r="U43" s="243"/>
      <c r="V43" s="70"/>
      <c r="W43" s="70"/>
      <c r="X43" s="70"/>
    </row>
    <row r="44" spans="1:24" ht="13.5" x14ac:dyDescent="0.2">
      <c r="A44" s="70"/>
      <c r="B44" s="138" t="s">
        <v>88</v>
      </c>
      <c r="C44" s="774">
        <f>C41*C42*C39</f>
        <v>10164000</v>
      </c>
      <c r="D44" s="78" t="s">
        <v>596</v>
      </c>
      <c r="I44" s="70"/>
      <c r="J44" s="1180" t="s">
        <v>1038</v>
      </c>
      <c r="K44" s="196">
        <f>K43*$C$13</f>
        <v>0</v>
      </c>
      <c r="L44" s="33" t="s">
        <v>230</v>
      </c>
      <c r="M44" s="157"/>
      <c r="N44" s="33"/>
      <c r="O44" s="157"/>
      <c r="P44" s="157"/>
      <c r="Q44" s="157"/>
      <c r="R44" s="157"/>
      <c r="S44" s="157"/>
      <c r="T44" s="157"/>
      <c r="U44" s="1660"/>
      <c r="V44" s="70"/>
      <c r="W44" s="70"/>
      <c r="X44" s="70"/>
    </row>
    <row r="45" spans="1:24" x14ac:dyDescent="0.2">
      <c r="A45" s="70"/>
      <c r="B45" s="242" t="s">
        <v>1011</v>
      </c>
      <c r="C45" s="157">
        <v>2400</v>
      </c>
      <c r="D45" s="243" t="s">
        <v>137</v>
      </c>
      <c r="I45" s="70"/>
      <c r="J45" s="138" t="s">
        <v>1033</v>
      </c>
      <c r="K45" s="235">
        <f>(K44*$C$46)/$C$15</f>
        <v>0</v>
      </c>
      <c r="L45" s="53" t="s">
        <v>67</v>
      </c>
      <c r="M45" s="70"/>
      <c r="N45" s="151"/>
      <c r="O45" s="70"/>
      <c r="P45" s="70"/>
      <c r="Q45" s="70"/>
      <c r="R45" s="70"/>
      <c r="S45" s="70"/>
      <c r="T45" s="70"/>
      <c r="U45" s="243"/>
      <c r="V45" s="70"/>
      <c r="W45" s="70"/>
      <c r="X45" s="70"/>
    </row>
    <row r="46" spans="1:24" x14ac:dyDescent="0.2">
      <c r="A46" s="70"/>
      <c r="B46" s="242" t="s">
        <v>235</v>
      </c>
      <c r="C46" s="157">
        <v>120</v>
      </c>
      <c r="D46" s="243" t="s">
        <v>137</v>
      </c>
      <c r="I46" s="70"/>
      <c r="J46" s="138" t="s">
        <v>1034</v>
      </c>
      <c r="K46" s="235">
        <f>K44*$C$45/$C$15</f>
        <v>0</v>
      </c>
      <c r="L46" s="53" t="s">
        <v>67</v>
      </c>
      <c r="M46" s="33"/>
      <c r="N46" s="33"/>
      <c r="O46" s="157"/>
      <c r="P46" s="157"/>
      <c r="Q46" s="157"/>
      <c r="R46" s="157"/>
      <c r="S46" s="157"/>
      <c r="T46" s="157"/>
      <c r="U46" s="1660"/>
      <c r="V46" s="70"/>
      <c r="W46" s="70"/>
      <c r="X46" s="70"/>
    </row>
    <row r="47" spans="1:24" x14ac:dyDescent="0.2">
      <c r="A47" s="70"/>
      <c r="B47" s="242"/>
      <c r="C47" s="157"/>
      <c r="D47" s="243"/>
      <c r="I47" s="70"/>
      <c r="J47" s="806" t="s">
        <v>1036</v>
      </c>
      <c r="K47" s="234"/>
      <c r="L47" s="70"/>
      <c r="M47" s="33"/>
      <c r="N47" s="33"/>
      <c r="O47" s="157"/>
      <c r="P47" s="157"/>
      <c r="Q47" s="157"/>
      <c r="R47" s="157"/>
      <c r="S47" s="157"/>
      <c r="T47" s="157"/>
      <c r="U47" s="1660"/>
      <c r="V47" s="70"/>
      <c r="W47" s="70"/>
      <c r="X47" s="70"/>
    </row>
    <row r="48" spans="1:24" x14ac:dyDescent="0.2">
      <c r="A48" s="70"/>
      <c r="B48" s="77" t="s">
        <v>1010</v>
      </c>
      <c r="C48" s="774">
        <f>IF(C13&lt;F19,G19,IF(C13&lt;F20,G20,IF(C13&lt;F21,G21,IF(C13&lt;F22,G22,IF(C13&lt;F23,G23)))))/1000</f>
        <v>0.4</v>
      </c>
      <c r="D48" s="78" t="s">
        <v>17</v>
      </c>
      <c r="I48" s="70"/>
      <c r="J48" s="1180" t="s">
        <v>1037</v>
      </c>
      <c r="K48" s="190">
        <f>IF(C9="kern",2*K36*$C$48*$K$29,0)</f>
        <v>0</v>
      </c>
      <c r="L48" s="70" t="s">
        <v>81</v>
      </c>
      <c r="M48" s="70"/>
      <c r="N48" s="151"/>
      <c r="O48" s="70"/>
      <c r="P48" s="70"/>
      <c r="Q48" s="70"/>
      <c r="R48" s="70"/>
      <c r="S48" s="70"/>
      <c r="T48" s="70"/>
      <c r="U48" s="243"/>
      <c r="V48" s="70"/>
      <c r="W48" s="70"/>
      <c r="X48" s="70"/>
    </row>
    <row r="49" spans="1:24" x14ac:dyDescent="0.2">
      <c r="A49" s="70"/>
      <c r="B49" s="737" t="s">
        <v>605</v>
      </c>
      <c r="C49" s="807"/>
      <c r="D49" s="784"/>
      <c r="I49" s="70"/>
      <c r="J49" s="1180" t="s">
        <v>1038</v>
      </c>
      <c r="K49" s="196">
        <f>K48*$C$13</f>
        <v>0</v>
      </c>
      <c r="L49" s="33" t="s">
        <v>230</v>
      </c>
      <c r="M49" s="70"/>
      <c r="N49" s="151"/>
      <c r="O49" s="70"/>
      <c r="P49" s="70"/>
      <c r="Q49" s="70"/>
      <c r="R49" s="70"/>
      <c r="S49" s="70"/>
      <c r="T49" s="70"/>
      <c r="U49" s="243"/>
      <c r="V49" s="70"/>
      <c r="W49" s="70"/>
      <c r="X49" s="70"/>
    </row>
    <row r="50" spans="1:24" x14ac:dyDescent="0.2">
      <c r="A50" s="70"/>
      <c r="B50" s="242"/>
      <c r="C50" s="157" t="s">
        <v>1005</v>
      </c>
      <c r="D50" s="243"/>
      <c r="I50" s="70"/>
      <c r="J50" s="138" t="s">
        <v>1033</v>
      </c>
      <c r="K50" s="235">
        <f>(K49*$C$46)/$C$15</f>
        <v>0</v>
      </c>
      <c r="L50" s="53" t="s">
        <v>67</v>
      </c>
      <c r="M50" s="70"/>
      <c r="N50" s="151"/>
      <c r="O50" s="70"/>
      <c r="P50" s="70"/>
      <c r="Q50" s="70"/>
      <c r="R50" s="70"/>
      <c r="S50" s="70"/>
      <c r="T50" s="70"/>
      <c r="U50" s="243"/>
      <c r="V50" s="70"/>
      <c r="W50" s="70"/>
      <c r="X50" s="70"/>
    </row>
    <row r="51" spans="1:24" ht="12.75" x14ac:dyDescent="0.2">
      <c r="A51" s="70"/>
      <c r="B51" s="432" t="s">
        <v>216</v>
      </c>
      <c r="C51" s="157">
        <v>150000</v>
      </c>
      <c r="D51" s="243" t="s">
        <v>16</v>
      </c>
      <c r="I51" s="70"/>
      <c r="J51" s="1214" t="s">
        <v>1034</v>
      </c>
      <c r="K51" s="1676">
        <f>K49*$C$45/$C$15</f>
        <v>0</v>
      </c>
      <c r="L51" s="1677" t="s">
        <v>67</v>
      </c>
      <c r="M51" s="245"/>
      <c r="N51" s="804"/>
      <c r="O51" s="245"/>
      <c r="P51" s="245"/>
      <c r="Q51" s="245"/>
      <c r="R51" s="245"/>
      <c r="S51" s="245"/>
      <c r="T51" s="245"/>
      <c r="U51" s="246"/>
      <c r="V51" s="70"/>
      <c r="W51" s="70"/>
      <c r="X51" s="70"/>
    </row>
    <row r="52" spans="1:24" ht="12.75" x14ac:dyDescent="0.2">
      <c r="A52" s="70"/>
      <c r="B52" s="432" t="s">
        <v>217</v>
      </c>
      <c r="C52" s="157">
        <v>250000</v>
      </c>
      <c r="D52" s="243" t="s">
        <v>16</v>
      </c>
      <c r="I52" s="70"/>
      <c r="V52" s="70"/>
      <c r="W52" s="70"/>
      <c r="X52" s="70"/>
    </row>
    <row r="53" spans="1:24" ht="12.75" x14ac:dyDescent="0.2">
      <c r="A53" s="70"/>
      <c r="B53" s="432" t="s">
        <v>766</v>
      </c>
      <c r="C53" s="157">
        <v>335000</v>
      </c>
      <c r="D53" s="243" t="s">
        <v>16</v>
      </c>
      <c r="I53" s="70"/>
      <c r="J53" s="70"/>
      <c r="K53" s="70"/>
      <c r="L53" s="70"/>
      <c r="M53" s="70"/>
      <c r="N53" s="151"/>
      <c r="O53" s="70"/>
      <c r="P53" s="70"/>
      <c r="Q53" s="70"/>
      <c r="R53" s="70"/>
      <c r="S53" s="70"/>
      <c r="T53" s="70"/>
      <c r="U53" s="70"/>
      <c r="V53" s="70"/>
      <c r="W53" s="70"/>
      <c r="X53" s="70"/>
    </row>
    <row r="54" spans="1:24" x14ac:dyDescent="0.2">
      <c r="A54" s="70"/>
      <c r="B54" s="242" t="s">
        <v>595</v>
      </c>
      <c r="C54" s="157">
        <v>7850</v>
      </c>
      <c r="D54" s="243" t="s">
        <v>137</v>
      </c>
    </row>
    <row r="55" spans="1:24" x14ac:dyDescent="0.2">
      <c r="A55" s="70"/>
      <c r="B55" s="244" t="s">
        <v>1006</v>
      </c>
      <c r="C55" s="195">
        <v>0.6</v>
      </c>
      <c r="D55" s="246"/>
      <c r="K55" s="1673"/>
    </row>
    <row r="56" spans="1:24" ht="12.75" thickBot="1" x14ac:dyDescent="0.25">
      <c r="A56" s="70"/>
      <c r="B56" s="70"/>
      <c r="C56" s="157"/>
      <c r="D56" s="70"/>
      <c r="K56" s="1673"/>
    </row>
    <row r="57" spans="1:24" ht="16.5" thickBot="1" x14ac:dyDescent="0.3">
      <c r="A57" s="70"/>
      <c r="B57" s="49" t="s">
        <v>593</v>
      </c>
      <c r="C57" s="188"/>
      <c r="D57" s="1661"/>
    </row>
    <row r="58" spans="1:24" x14ac:dyDescent="0.2">
      <c r="A58" s="70"/>
      <c r="B58" s="242" t="s">
        <v>1013</v>
      </c>
      <c r="C58" s="796">
        <f>K7</f>
        <v>1.8564734607854512</v>
      </c>
      <c r="D58" s="243" t="s">
        <v>97</v>
      </c>
    </row>
    <row r="59" spans="1:24" x14ac:dyDescent="0.2">
      <c r="A59" s="70"/>
      <c r="B59" s="242" t="s">
        <v>1014</v>
      </c>
      <c r="C59" s="796">
        <f>M7</f>
        <v>1.1233199641703011</v>
      </c>
      <c r="D59" s="243" t="s">
        <v>97</v>
      </c>
    </row>
    <row r="60" spans="1:24" x14ac:dyDescent="0.2">
      <c r="A60" s="70"/>
      <c r="B60" s="244"/>
      <c r="C60" s="803"/>
      <c r="D60" s="246"/>
    </row>
    <row r="61" spans="1:24" ht="12.75" thickBot="1" x14ac:dyDescent="0.25">
      <c r="A61" s="70"/>
      <c r="B61" s="70"/>
      <c r="C61" s="234"/>
      <c r="D61" s="70"/>
      <c r="J61" s="70" t="s">
        <v>1163</v>
      </c>
      <c r="K61" s="70"/>
      <c r="L61" s="70"/>
      <c r="M61" s="70"/>
      <c r="N61" s="151"/>
      <c r="O61" s="70"/>
      <c r="P61" s="70"/>
      <c r="Q61" s="70"/>
    </row>
    <row r="62" spans="1:24" ht="16.5" thickBot="1" x14ac:dyDescent="0.3">
      <c r="A62" s="70"/>
      <c r="B62" s="49" t="s">
        <v>594</v>
      </c>
      <c r="C62" s="822"/>
      <c r="D62" s="792"/>
      <c r="J62" s="70"/>
      <c r="K62" s="70"/>
      <c r="L62" s="70"/>
      <c r="M62" s="70"/>
      <c r="N62" s="151"/>
      <c r="O62" s="70"/>
      <c r="P62" s="70"/>
      <c r="Q62" s="70"/>
    </row>
    <row r="63" spans="1:24" x14ac:dyDescent="0.2">
      <c r="A63" s="70"/>
      <c r="B63" s="242" t="s">
        <v>1015</v>
      </c>
      <c r="C63" s="795" t="str">
        <f>K20</f>
        <v>0</v>
      </c>
      <c r="D63" s="243" t="s">
        <v>97</v>
      </c>
      <c r="J63" s="70"/>
      <c r="K63" s="70"/>
      <c r="L63" s="70"/>
      <c r="M63" s="70"/>
      <c r="N63" s="151"/>
      <c r="O63" s="70"/>
      <c r="P63" s="70"/>
      <c r="Q63" s="70"/>
    </row>
    <row r="64" spans="1:24" x14ac:dyDescent="0.2">
      <c r="A64" s="70"/>
      <c r="B64" s="242" t="s">
        <v>1016</v>
      </c>
      <c r="C64" s="235" t="str">
        <f>K19</f>
        <v>0</v>
      </c>
      <c r="D64" s="243" t="s">
        <v>97</v>
      </c>
      <c r="J64" s="57"/>
      <c r="K64" s="191"/>
      <c r="L64" s="155"/>
      <c r="M64" s="191"/>
      <c r="N64" s="155"/>
      <c r="O64" s="70"/>
      <c r="P64" s="70"/>
      <c r="Q64" s="70"/>
    </row>
    <row r="65" spans="1:17" x14ac:dyDescent="0.2">
      <c r="A65" s="70"/>
      <c r="B65" s="242" t="s">
        <v>1017</v>
      </c>
      <c r="C65" s="795" t="str">
        <f>M20</f>
        <v>0</v>
      </c>
      <c r="D65" s="243" t="s">
        <v>97</v>
      </c>
      <c r="J65" s="70"/>
      <c r="K65" s="191"/>
      <c r="L65" s="155"/>
      <c r="M65" s="191"/>
      <c r="N65" s="155"/>
      <c r="O65" s="70"/>
      <c r="P65" s="70"/>
      <c r="Q65" s="70"/>
    </row>
    <row r="66" spans="1:17" x14ac:dyDescent="0.2">
      <c r="A66" s="70"/>
      <c r="B66" s="242" t="s">
        <v>1018</v>
      </c>
      <c r="C66" s="235" t="str">
        <f>M19</f>
        <v>0</v>
      </c>
      <c r="D66" s="243" t="s">
        <v>97</v>
      </c>
      <c r="J66" s="70"/>
      <c r="K66" s="196"/>
      <c r="L66" s="155"/>
      <c r="M66" s="196"/>
      <c r="N66" s="155"/>
      <c r="O66" s="70"/>
      <c r="P66" s="70"/>
      <c r="Q66" s="70"/>
    </row>
    <row r="67" spans="1:17" x14ac:dyDescent="0.2">
      <c r="A67" s="70"/>
      <c r="B67" s="244"/>
      <c r="C67" s="245"/>
      <c r="D67" s="246"/>
      <c r="J67" s="64"/>
      <c r="K67" s="196"/>
      <c r="L67" s="155"/>
      <c r="M67" s="196"/>
      <c r="N67" s="155"/>
      <c r="O67" s="70"/>
      <c r="P67" s="70"/>
      <c r="Q67" s="70"/>
    </row>
    <row r="68" spans="1:17" ht="12.75" thickBot="1" x14ac:dyDescent="0.25">
      <c r="A68" s="70"/>
      <c r="B68" s="70"/>
      <c r="C68" s="234"/>
      <c r="D68" s="70"/>
      <c r="J68" s="70"/>
      <c r="K68" s="70"/>
      <c r="L68" s="70"/>
      <c r="M68" s="70"/>
      <c r="N68" s="151"/>
      <c r="O68" s="70"/>
      <c r="P68" s="70"/>
      <c r="Q68" s="70"/>
    </row>
    <row r="69" spans="1:17" ht="16.5" thickBot="1" x14ac:dyDescent="0.3">
      <c r="A69" s="70"/>
      <c r="B69" s="49" t="s">
        <v>592</v>
      </c>
      <c r="C69" s="822"/>
      <c r="D69" s="792"/>
      <c r="J69" s="70"/>
      <c r="K69" s="70"/>
      <c r="L69" s="70"/>
      <c r="M69" s="70"/>
      <c r="N69" s="151"/>
      <c r="O69" s="70"/>
      <c r="P69" s="70"/>
      <c r="Q69" s="70"/>
    </row>
    <row r="70" spans="1:17" x14ac:dyDescent="0.2">
      <c r="A70" s="70"/>
      <c r="B70" s="242" t="s">
        <v>1019</v>
      </c>
      <c r="C70" s="795">
        <f>K46</f>
        <v>0</v>
      </c>
      <c r="D70" s="243" t="s">
        <v>97</v>
      </c>
      <c r="J70" s="70"/>
      <c r="K70" s="70"/>
      <c r="L70" s="70"/>
      <c r="M70" s="70"/>
      <c r="N70" s="151"/>
      <c r="O70" s="70"/>
      <c r="P70" s="70"/>
      <c r="Q70" s="70"/>
    </row>
    <row r="71" spans="1:17" x14ac:dyDescent="0.2">
      <c r="A71" s="70"/>
      <c r="B71" s="242" t="s">
        <v>1020</v>
      </c>
      <c r="C71" s="235">
        <f>K45</f>
        <v>0</v>
      </c>
      <c r="D71" s="243" t="s">
        <v>97</v>
      </c>
      <c r="J71" s="70"/>
      <c r="K71" s="70"/>
      <c r="L71" s="70"/>
      <c r="M71" s="70"/>
      <c r="N71" s="151"/>
      <c r="O71" s="70"/>
      <c r="P71" s="70"/>
      <c r="Q71" s="70"/>
    </row>
    <row r="72" spans="1:17" x14ac:dyDescent="0.2">
      <c r="A72" s="70"/>
      <c r="B72" s="242" t="s">
        <v>1021</v>
      </c>
      <c r="C72" s="795">
        <f>K51</f>
        <v>0</v>
      </c>
      <c r="D72" s="243" t="s">
        <v>97</v>
      </c>
    </row>
    <row r="73" spans="1:17" x14ac:dyDescent="0.2">
      <c r="A73" s="70"/>
      <c r="B73" s="242" t="s">
        <v>1022</v>
      </c>
      <c r="C73" s="235">
        <f>K50</f>
        <v>0</v>
      </c>
      <c r="D73" s="243" t="s">
        <v>97</v>
      </c>
    </row>
    <row r="74" spans="1:17" x14ac:dyDescent="0.2">
      <c r="A74" s="70"/>
      <c r="B74" s="244"/>
      <c r="C74" s="245"/>
      <c r="D74" s="246"/>
    </row>
  </sheetData>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E64"/>
  <sheetViews>
    <sheetView zoomScaleNormal="100" workbookViewId="0">
      <selection activeCell="D7" sqref="D7"/>
    </sheetView>
  </sheetViews>
  <sheetFormatPr defaultColWidth="9.33203125" defaultRowHeight="12" x14ac:dyDescent="0.2"/>
  <cols>
    <col min="1" max="1" width="6.5" style="755" customWidth="1"/>
    <col min="2" max="2" width="38.83203125" style="755" customWidth="1"/>
    <col min="3" max="3" width="14" style="755" bestFit="1" customWidth="1"/>
    <col min="4" max="4" width="20" style="766" customWidth="1"/>
    <col min="5" max="5" width="15" style="780" bestFit="1" customWidth="1"/>
    <col min="6" max="6" width="9.33203125" style="755"/>
    <col min="7" max="7" width="64.1640625" style="755" customWidth="1"/>
    <col min="8" max="8" width="14.5" style="766" bestFit="1" customWidth="1"/>
    <col min="9" max="9" width="15" style="755" customWidth="1"/>
    <col min="10" max="10" width="7.83203125" style="755" bestFit="1" customWidth="1"/>
    <col min="11" max="11" width="3.6640625" style="755" bestFit="1" customWidth="1"/>
    <col min="12" max="12" width="9" style="755" bestFit="1" customWidth="1"/>
    <col min="13" max="13" width="4.6640625" style="755" bestFit="1" customWidth="1"/>
    <col min="14" max="14" width="4.83203125" style="755" bestFit="1" customWidth="1"/>
    <col min="15" max="15" width="4.6640625" style="755" bestFit="1" customWidth="1"/>
    <col min="16" max="16" width="4.83203125" style="755" bestFit="1" customWidth="1"/>
    <col min="17" max="17" width="6.1640625" style="755" bestFit="1" customWidth="1"/>
    <col min="18" max="18" width="4.1640625" style="755" bestFit="1" customWidth="1"/>
    <col min="19" max="19" width="11.83203125" style="755" bestFit="1" customWidth="1"/>
    <col min="20" max="20" width="4.1640625" style="755" bestFit="1" customWidth="1"/>
    <col min="21" max="21" width="9.33203125" style="755"/>
    <col min="22" max="22" width="44.33203125" style="755" bestFit="1" customWidth="1"/>
    <col min="23" max="23" width="8.33203125" style="755" bestFit="1" customWidth="1"/>
    <col min="24" max="24" width="15.5" style="755" bestFit="1" customWidth="1"/>
    <col min="25" max="25" width="7.1640625" style="755" bestFit="1" customWidth="1"/>
    <col min="26" max="26" width="7" style="755" bestFit="1" customWidth="1"/>
    <col min="27" max="27" width="9.33203125" style="755"/>
    <col min="28" max="28" width="4.5" style="755" customWidth="1"/>
    <col min="29" max="29" width="3.6640625" style="755" bestFit="1" customWidth="1"/>
    <col min="30" max="30" width="7.1640625" style="755" bestFit="1" customWidth="1"/>
    <col min="31" max="16384" width="9.33203125" style="755"/>
  </cols>
  <sheetData>
    <row r="1" spans="2:24" ht="12.75" thickBot="1" x14ac:dyDescent="0.25">
      <c r="N1" s="757"/>
      <c r="O1" s="757"/>
      <c r="P1" s="757"/>
      <c r="Q1" s="757"/>
      <c r="R1" s="757"/>
      <c r="S1" s="756"/>
      <c r="T1" s="756"/>
    </row>
    <row r="2" spans="2:24" ht="16.5" thickBot="1" x14ac:dyDescent="0.3">
      <c r="B2" s="49" t="s">
        <v>545</v>
      </c>
      <c r="C2" s="932"/>
      <c r="D2" s="770"/>
      <c r="E2" s="781"/>
      <c r="G2" s="254" t="s">
        <v>417</v>
      </c>
      <c r="H2" s="767"/>
      <c r="I2" s="255"/>
      <c r="J2" s="255"/>
      <c r="K2" s="255"/>
      <c r="L2" s="255"/>
      <c r="M2" s="255"/>
      <c r="N2" s="255"/>
      <c r="O2" s="255"/>
      <c r="P2" s="255"/>
      <c r="Q2" s="255"/>
      <c r="R2" s="255"/>
      <c r="S2" s="255"/>
      <c r="T2" s="256"/>
      <c r="V2" s="254" t="s">
        <v>535</v>
      </c>
      <c r="W2" s="767"/>
      <c r="X2" s="256"/>
    </row>
    <row r="3" spans="2:24" x14ac:dyDescent="0.2">
      <c r="B3" s="765" t="s">
        <v>586</v>
      </c>
      <c r="C3" s="933"/>
      <c r="D3" s="771">
        <f>'01_ALGEMEEN'!$F$52</f>
        <v>14</v>
      </c>
      <c r="E3" s="782"/>
      <c r="G3" s="763"/>
      <c r="H3" s="775"/>
      <c r="I3" s="78"/>
      <c r="J3" s="1877" t="s">
        <v>657</v>
      </c>
      <c r="K3" s="1878"/>
      <c r="L3" s="1878"/>
      <c r="M3" s="1878"/>
      <c r="N3" s="1878"/>
      <c r="O3" s="1878"/>
      <c r="P3" s="1878"/>
      <c r="Q3" s="1878"/>
      <c r="R3" s="1878"/>
      <c r="S3" s="1878"/>
      <c r="T3" s="1879"/>
      <c r="V3" s="920"/>
      <c r="W3" s="921"/>
      <c r="X3" s="927"/>
    </row>
    <row r="4" spans="2:24" x14ac:dyDescent="0.2">
      <c r="B4" s="765" t="s">
        <v>1164</v>
      </c>
      <c r="C4" s="933"/>
      <c r="D4" s="772">
        <f>'01_ALGEMEEN'!F28</f>
        <v>1184</v>
      </c>
      <c r="E4" s="783" t="s">
        <v>81</v>
      </c>
      <c r="G4" s="763" t="s">
        <v>1165</v>
      </c>
      <c r="H4" s="191">
        <f>D20*D4</f>
        <v>9679.2000000000007</v>
      </c>
      <c r="I4" s="759" t="s">
        <v>82</v>
      </c>
      <c r="J4" s="941" t="s">
        <v>646</v>
      </c>
      <c r="K4" s="840"/>
      <c r="L4" s="838" t="s">
        <v>205</v>
      </c>
      <c r="M4" s="840" t="s">
        <v>642</v>
      </c>
      <c r="N4" s="838"/>
      <c r="O4" s="840" t="s">
        <v>140</v>
      </c>
      <c r="P4" s="838"/>
      <c r="Q4" s="840" t="s">
        <v>645</v>
      </c>
      <c r="R4" s="838"/>
      <c r="S4" s="838" t="s">
        <v>647</v>
      </c>
      <c r="T4" s="930"/>
      <c r="V4" s="922" t="s">
        <v>1131</v>
      </c>
      <c r="W4" s="848">
        <v>2400</v>
      </c>
      <c r="X4" s="923" t="s">
        <v>137</v>
      </c>
    </row>
    <row r="5" spans="2:24" x14ac:dyDescent="0.2">
      <c r="B5" s="763" t="s">
        <v>1168</v>
      </c>
      <c r="C5" s="769"/>
      <c r="D5" s="191">
        <f>'01_ALGEMEEN'!F34</f>
        <v>1184</v>
      </c>
      <c r="E5" s="783" t="s">
        <v>81</v>
      </c>
      <c r="G5" s="763" t="s">
        <v>1177</v>
      </c>
      <c r="H5" s="191">
        <f>D6*D24*D5</f>
        <v>75284.403200000001</v>
      </c>
      <c r="I5" s="759" t="s">
        <v>82</v>
      </c>
      <c r="J5" s="763">
        <v>500</v>
      </c>
      <c r="K5" s="769" t="s">
        <v>82</v>
      </c>
      <c r="L5" s="841" t="str">
        <f>CONCATENATE(M5,"*",O5)</f>
        <v>220*220</v>
      </c>
      <c r="M5" s="769">
        <v>220</v>
      </c>
      <c r="N5" s="769" t="s">
        <v>130</v>
      </c>
      <c r="O5" s="769">
        <v>220</v>
      </c>
      <c r="P5" s="769" t="s">
        <v>130</v>
      </c>
      <c r="Q5" s="797">
        <f>M5/1000*O5/1000</f>
        <v>4.8399999999999999E-2</v>
      </c>
      <c r="R5" s="769" t="s">
        <v>81</v>
      </c>
      <c r="S5" s="797">
        <f>Q5*$D$34</f>
        <v>0.96799999999999997</v>
      </c>
      <c r="T5" s="759" t="s">
        <v>230</v>
      </c>
      <c r="V5" s="924" t="s">
        <v>1130</v>
      </c>
      <c r="W5" s="20">
        <v>90</v>
      </c>
      <c r="X5" s="21" t="s">
        <v>137</v>
      </c>
    </row>
    <row r="6" spans="2:24" x14ac:dyDescent="0.2">
      <c r="B6" s="755" t="s">
        <v>1166</v>
      </c>
      <c r="D6" s="1708">
        <f>'01_ALGEMEEN'!E32</f>
        <v>10</v>
      </c>
      <c r="G6" s="763" t="s">
        <v>1178</v>
      </c>
      <c r="H6" s="191">
        <f>D8*D27*D7</f>
        <v>21897.276959999999</v>
      </c>
      <c r="I6" s="759" t="s">
        <v>82</v>
      </c>
      <c r="J6" s="763">
        <v>1000</v>
      </c>
      <c r="K6" s="769" t="s">
        <v>82</v>
      </c>
      <c r="L6" s="841" t="str">
        <f>CONCATENATE(M6,"*",O6)</f>
        <v>320*320</v>
      </c>
      <c r="M6" s="769">
        <v>320</v>
      </c>
      <c r="N6" s="769" t="s">
        <v>130</v>
      </c>
      <c r="O6" s="769">
        <v>320</v>
      </c>
      <c r="P6" s="769" t="s">
        <v>130</v>
      </c>
      <c r="Q6" s="797">
        <f t="shared" ref="Q6:Q8" si="0">M6/1000*O6/1000</f>
        <v>0.1024</v>
      </c>
      <c r="R6" s="769" t="s">
        <v>81</v>
      </c>
      <c r="S6" s="797">
        <f>Q6*$D$34</f>
        <v>2.048</v>
      </c>
      <c r="T6" s="759" t="s">
        <v>230</v>
      </c>
      <c r="V6" s="24"/>
      <c r="W6" s="14"/>
      <c r="X6" s="17"/>
    </row>
    <row r="7" spans="2:24" x14ac:dyDescent="0.2">
      <c r="B7" s="763" t="s">
        <v>1169</v>
      </c>
      <c r="C7" s="769"/>
      <c r="D7" s="191">
        <f>'01_ALGEMEEN'!F41</f>
        <v>1084</v>
      </c>
      <c r="E7" s="783" t="s">
        <v>81</v>
      </c>
      <c r="G7" s="763" t="s">
        <v>1179</v>
      </c>
      <c r="H7" s="191">
        <f>D29*D9</f>
        <v>8134.079999999999</v>
      </c>
      <c r="I7" s="759" t="s">
        <v>82</v>
      </c>
      <c r="J7" s="763">
        <v>1500</v>
      </c>
      <c r="K7" s="769" t="s">
        <v>82</v>
      </c>
      <c r="L7" s="841" t="str">
        <f>CONCATENATE(M7,"*",O7)</f>
        <v>360*360</v>
      </c>
      <c r="M7" s="769">
        <v>360</v>
      </c>
      <c r="N7" s="769" t="s">
        <v>130</v>
      </c>
      <c r="O7" s="769">
        <v>360</v>
      </c>
      <c r="P7" s="769" t="s">
        <v>130</v>
      </c>
      <c r="Q7" s="797">
        <f t="shared" si="0"/>
        <v>0.12959999999999999</v>
      </c>
      <c r="R7" s="769" t="s">
        <v>81</v>
      </c>
      <c r="S7" s="797">
        <f>Q7*$D$34</f>
        <v>2.5919999999999996</v>
      </c>
      <c r="T7" s="759" t="s">
        <v>230</v>
      </c>
      <c r="V7" s="24" t="s">
        <v>637</v>
      </c>
      <c r="W7" s="14"/>
      <c r="X7" s="17"/>
    </row>
    <row r="8" spans="2:24" x14ac:dyDescent="0.2">
      <c r="B8" s="755" t="s">
        <v>1167</v>
      </c>
      <c r="D8" s="1708">
        <f>'01_ALGEMEEN'!E39</f>
        <v>3</v>
      </c>
      <c r="G8" s="763" t="s">
        <v>1043</v>
      </c>
      <c r="H8" s="191">
        <f>H4+H5+H6+H7</f>
        <v>114994.96016</v>
      </c>
      <c r="I8" s="759" t="s">
        <v>82</v>
      </c>
      <c r="J8" s="760">
        <v>2000</v>
      </c>
      <c r="K8" s="791" t="s">
        <v>82</v>
      </c>
      <c r="L8" s="940" t="str">
        <f>CONCATENATE(M8,"*",O8)</f>
        <v>450*450</v>
      </c>
      <c r="M8" s="791">
        <v>450</v>
      </c>
      <c r="N8" s="791" t="s">
        <v>130</v>
      </c>
      <c r="O8" s="791">
        <v>450</v>
      </c>
      <c r="P8" s="791" t="s">
        <v>130</v>
      </c>
      <c r="Q8" s="811">
        <f t="shared" si="0"/>
        <v>0.20250000000000001</v>
      </c>
      <c r="R8" s="791" t="s">
        <v>81</v>
      </c>
      <c r="S8" s="811">
        <f>Q8*$D$34</f>
        <v>4.0500000000000007</v>
      </c>
      <c r="T8" s="761" t="s">
        <v>230</v>
      </c>
      <c r="V8" s="15" t="s">
        <v>1138</v>
      </c>
      <c r="W8" s="14">
        <v>500</v>
      </c>
      <c r="X8" s="17" t="s">
        <v>130</v>
      </c>
    </row>
    <row r="9" spans="2:24" x14ac:dyDescent="0.2">
      <c r="B9" s="763" t="s">
        <v>1170</v>
      </c>
      <c r="C9" s="769"/>
      <c r="D9" s="191">
        <f>'01_ALGEMEEN'!$F$47</f>
        <v>1184</v>
      </c>
      <c r="E9" s="783" t="s">
        <v>81</v>
      </c>
      <c r="G9" s="1777" t="s">
        <v>649</v>
      </c>
      <c r="H9" s="775"/>
      <c r="I9" s="759"/>
      <c r="J9" s="158"/>
      <c r="K9" s="57"/>
      <c r="L9" s="790"/>
      <c r="M9" s="790"/>
      <c r="N9" s="57"/>
      <c r="O9" s="790"/>
      <c r="P9" s="790"/>
      <c r="Q9" s="769"/>
      <c r="R9" s="769"/>
      <c r="S9" s="769"/>
      <c r="T9" s="1722"/>
      <c r="V9" s="15" t="s">
        <v>1139</v>
      </c>
      <c r="W9" s="14">
        <v>600</v>
      </c>
      <c r="X9" s="17" t="s">
        <v>130</v>
      </c>
    </row>
    <row r="10" spans="2:24" x14ac:dyDescent="0.2">
      <c r="B10" s="768" t="s">
        <v>641</v>
      </c>
      <c r="C10" s="934"/>
      <c r="D10" s="771">
        <f>'01_ALGEMEEN'!$F$51</f>
        <v>16276</v>
      </c>
      <c r="E10" s="783" t="s">
        <v>81</v>
      </c>
      <c r="G10" s="936" t="s">
        <v>219</v>
      </c>
      <c r="H10" s="749">
        <v>1.2</v>
      </c>
      <c r="I10" s="759"/>
      <c r="J10" s="158"/>
      <c r="K10" s="57"/>
      <c r="L10" s="790"/>
      <c r="M10" s="790"/>
      <c r="N10" s="790"/>
      <c r="O10" s="790"/>
      <c r="P10" s="790"/>
      <c r="Q10" s="769"/>
      <c r="R10" s="769"/>
      <c r="S10" s="769"/>
      <c r="T10" s="769"/>
      <c r="V10" s="15" t="s">
        <v>1136</v>
      </c>
      <c r="W10" s="16">
        <f>W8/1000*W9/1000</f>
        <v>0.3</v>
      </c>
      <c r="X10" s="17" t="s">
        <v>81</v>
      </c>
    </row>
    <row r="11" spans="2:24" x14ac:dyDescent="0.2">
      <c r="B11" s="763" t="s">
        <v>275</v>
      </c>
      <c r="C11" s="769"/>
      <c r="D11" s="191">
        <f>'01_ALGEMEEN'!$E$13</f>
        <v>5</v>
      </c>
      <c r="E11" s="782" t="s">
        <v>538</v>
      </c>
      <c r="G11" s="936" t="s">
        <v>443</v>
      </c>
      <c r="H11" s="749">
        <v>1</v>
      </c>
      <c r="I11" s="759"/>
      <c r="J11" s="158"/>
      <c r="K11" s="57"/>
      <c r="L11" s="790"/>
      <c r="M11" s="790"/>
      <c r="N11" s="790"/>
      <c r="O11" s="790"/>
      <c r="P11" s="790"/>
      <c r="Q11" s="769"/>
      <c r="R11" s="769"/>
      <c r="S11" s="769"/>
      <c r="T11" s="769"/>
      <c r="V11" s="189" t="s">
        <v>1129</v>
      </c>
      <c r="W11" s="16">
        <f>(2*('04_LIGGERS'!$G$3-1)*'04_LIGGERS'!$D$3)+(2*('04_LIGGERS'!$G$4-1)*'04_LIGGERS'!$D$4)</f>
        <v>139.19999999999999</v>
      </c>
      <c r="X11" s="17" t="s">
        <v>17</v>
      </c>
    </row>
    <row r="12" spans="2:24" x14ac:dyDescent="0.2">
      <c r="B12" s="763" t="s">
        <v>276</v>
      </c>
      <c r="C12" s="769"/>
      <c r="D12" s="773">
        <f>'01_ALGEMEEN'!$E$14</f>
        <v>9</v>
      </c>
      <c r="E12" s="782" t="s">
        <v>538</v>
      </c>
      <c r="G12" s="937" t="s">
        <v>650</v>
      </c>
      <c r="H12" s="749">
        <v>1.25</v>
      </c>
      <c r="I12" s="759"/>
      <c r="J12" s="158"/>
      <c r="K12" s="1711"/>
      <c r="L12" s="1712"/>
      <c r="M12" s="790"/>
      <c r="N12" s="790"/>
      <c r="O12" s="790"/>
      <c r="P12" s="790"/>
      <c r="Q12" s="769"/>
      <c r="R12" s="769"/>
      <c r="S12" s="769"/>
      <c r="T12" s="769"/>
      <c r="V12" s="15" t="s">
        <v>1137</v>
      </c>
      <c r="W12" s="16">
        <f>W11*W10</f>
        <v>41.76</v>
      </c>
      <c r="X12" s="17" t="s">
        <v>230</v>
      </c>
    </row>
    <row r="13" spans="2:24" x14ac:dyDescent="0.2">
      <c r="B13" s="763" t="s">
        <v>644</v>
      </c>
      <c r="C13" s="769"/>
      <c r="D13" s="774" t="str">
        <f>IF('01_ALGEMEEN'!$D$17="",'01_ALGEMEEN'!$D$20,'01_ALGEMEEN'!$D$17)</f>
        <v>(on)geschoord skelet</v>
      </c>
      <c r="E13" s="782"/>
      <c r="G13" s="937" t="s">
        <v>651</v>
      </c>
      <c r="H13" s="749">
        <v>1.25</v>
      </c>
      <c r="I13" s="759"/>
      <c r="J13" s="158"/>
      <c r="K13" s="1711"/>
      <c r="L13" s="1712"/>
      <c r="M13" s="790"/>
      <c r="N13" s="790"/>
      <c r="O13" s="790"/>
      <c r="P13" s="790"/>
      <c r="Q13" s="769"/>
      <c r="R13" s="769"/>
      <c r="S13" s="769"/>
      <c r="T13" s="769"/>
      <c r="V13" s="15"/>
      <c r="W13" s="14"/>
      <c r="X13" s="17"/>
    </row>
    <row r="14" spans="2:24" x14ac:dyDescent="0.2">
      <c r="B14" s="763" t="s">
        <v>428</v>
      </c>
      <c r="C14" s="769"/>
      <c r="D14" s="773" t="str">
        <f>IF(OR('01_ALGEMEEN'!$D$18="kern",'01_ALGEMEEN'!$D$18="kern"),"ja","nee")</f>
        <v>nee</v>
      </c>
      <c r="E14" s="782"/>
      <c r="G14" s="837" t="s">
        <v>653</v>
      </c>
      <c r="H14" s="828">
        <f>H8*H12*H13*(VLOOKUP(D13,G10:H11,2,0))</f>
        <v>179679.62524999998</v>
      </c>
      <c r="I14" s="938" t="s">
        <v>82</v>
      </c>
      <c r="J14" s="158"/>
      <c r="K14" s="1711"/>
      <c r="L14" s="1712"/>
      <c r="M14" s="790"/>
      <c r="N14" s="790"/>
      <c r="O14" s="790"/>
      <c r="P14" s="790"/>
      <c r="Q14" s="769"/>
      <c r="R14" s="769"/>
      <c r="S14" s="769"/>
      <c r="T14" s="769"/>
      <c r="V14" s="15" t="s">
        <v>1150</v>
      </c>
      <c r="W14" s="16">
        <f>W12*W4</f>
        <v>100224</v>
      </c>
      <c r="X14" s="17" t="s">
        <v>104</v>
      </c>
    </row>
    <row r="15" spans="2:24" x14ac:dyDescent="0.2">
      <c r="B15" s="763" t="s">
        <v>513</v>
      </c>
      <c r="C15" s="769"/>
      <c r="D15" s="773">
        <f>IF('01_ALGEMEEN'!$D$243="kern",'01_ALGEMEEN'!$D$245,IF('01_ALGEMEEN'!$D$258="kern",'01_ALGEMEEN'!$D$260,0))</f>
        <v>0</v>
      </c>
      <c r="E15" s="782" t="s">
        <v>654</v>
      </c>
      <c r="G15" s="763"/>
      <c r="H15" s="775"/>
      <c r="I15" s="759"/>
      <c r="J15" s="790"/>
      <c r="K15" s="790"/>
      <c r="L15" s="790"/>
      <c r="M15" s="790"/>
      <c r="N15" s="790"/>
      <c r="O15" s="790"/>
      <c r="P15" s="790"/>
      <c r="Q15" s="769"/>
      <c r="R15" s="769"/>
      <c r="S15" s="769"/>
      <c r="T15" s="769"/>
      <c r="V15" s="15" t="s">
        <v>1151</v>
      </c>
      <c r="W15" s="16">
        <f>W12*W5</f>
        <v>3758.3999999999996</v>
      </c>
      <c r="X15" s="17" t="s">
        <v>104</v>
      </c>
    </row>
    <row r="16" spans="2:24" x14ac:dyDescent="0.2">
      <c r="B16" s="763" t="s">
        <v>655</v>
      </c>
      <c r="C16" s="769"/>
      <c r="D16" s="773">
        <f>IF(D14="ja",'06_STABILITEIT'!$K$64,0)</f>
        <v>0</v>
      </c>
      <c r="E16" s="782" t="s">
        <v>17</v>
      </c>
      <c r="G16" s="763"/>
      <c r="H16" s="775"/>
      <c r="I16" s="759"/>
      <c r="T16" s="769"/>
      <c r="V16" s="15" t="s">
        <v>1152</v>
      </c>
      <c r="W16" s="16">
        <f>W14/D10</f>
        <v>6.1577783239125088</v>
      </c>
      <c r="X16" s="17" t="s">
        <v>64</v>
      </c>
    </row>
    <row r="17" spans="2:24" x14ac:dyDescent="0.2">
      <c r="B17" s="763"/>
      <c r="C17" s="769"/>
      <c r="D17" s="775"/>
      <c r="E17" s="782"/>
      <c r="G17" s="763" t="s">
        <v>1189</v>
      </c>
      <c r="H17" s="191">
        <f>CEILING((H14/D33),1)</f>
        <v>120</v>
      </c>
      <c r="I17" s="759" t="s">
        <v>654</v>
      </c>
      <c r="T17" s="769"/>
      <c r="V17" s="15" t="s">
        <v>1153</v>
      </c>
      <c r="W17" s="16">
        <f>W15/D10</f>
        <v>0.23091668714671906</v>
      </c>
      <c r="X17" s="17" t="s">
        <v>64</v>
      </c>
    </row>
    <row r="18" spans="2:24" x14ac:dyDescent="0.2">
      <c r="B18" s="1714" t="s">
        <v>587</v>
      </c>
      <c r="C18" s="1715"/>
      <c r="D18" s="1716"/>
      <c r="E18" s="1717"/>
      <c r="G18" s="763" t="s">
        <v>1182</v>
      </c>
      <c r="H18" s="1708">
        <f>IF('07_FUNDERING'!D15&gt;0,'06_STABILITEIT'!K35,0)</f>
        <v>0</v>
      </c>
      <c r="I18" s="759" t="s">
        <v>17</v>
      </c>
      <c r="T18" s="769"/>
      <c r="V18" s="15"/>
      <c r="W18" s="14"/>
      <c r="X18" s="17"/>
    </row>
    <row r="19" spans="2:24" x14ac:dyDescent="0.2">
      <c r="B19" s="1718" t="s">
        <v>1040</v>
      </c>
      <c r="C19" s="1002"/>
      <c r="D19" s="1719"/>
      <c r="E19" s="1720"/>
      <c r="G19" s="763" t="s">
        <v>1183</v>
      </c>
      <c r="H19" s="1708">
        <f>IF('07_FUNDERING'!D15&gt;0,'06_STABILITEIT'!K36,0)</f>
        <v>0</v>
      </c>
      <c r="I19" s="759" t="s">
        <v>17</v>
      </c>
      <c r="T19" s="769"/>
      <c r="V19" s="24" t="s">
        <v>636</v>
      </c>
      <c r="W19" s="14"/>
      <c r="X19" s="17"/>
    </row>
    <row r="20" spans="2:24" ht="13.5" x14ac:dyDescent="0.2">
      <c r="B20" s="29" t="s">
        <v>633</v>
      </c>
      <c r="C20" s="18" t="s">
        <v>1171</v>
      </c>
      <c r="D20" s="776">
        <f>'01_ALGEMEEN'!P76</f>
        <v>8.1750000000000007</v>
      </c>
      <c r="E20" s="785" t="s">
        <v>588</v>
      </c>
      <c r="G20" s="763" t="s">
        <v>1044</v>
      </c>
      <c r="H20" s="1708">
        <f>CEILING(((H18*2+H19*2)/1.5),1)</f>
        <v>0</v>
      </c>
      <c r="I20" s="759" t="s">
        <v>654</v>
      </c>
      <c r="T20" s="769"/>
      <c r="V20" s="15" t="s">
        <v>1132</v>
      </c>
      <c r="W20" s="14">
        <v>400</v>
      </c>
      <c r="X20" s="17" t="s">
        <v>130</v>
      </c>
    </row>
    <row r="21" spans="2:24" ht="13.5" x14ac:dyDescent="0.2">
      <c r="B21" s="29" t="s">
        <v>634</v>
      </c>
      <c r="C21" s="18" t="s">
        <v>1172</v>
      </c>
      <c r="D21" s="776">
        <f>'01_ALGEMEEN'!R76</f>
        <v>6.15</v>
      </c>
      <c r="E21" s="785" t="s">
        <v>588</v>
      </c>
      <c r="G21" s="763" t="s">
        <v>1187</v>
      </c>
      <c r="H21" s="191">
        <f>D15</f>
        <v>0</v>
      </c>
      <c r="I21" s="759" t="s">
        <v>654</v>
      </c>
      <c r="T21" s="769"/>
      <c r="V21" s="15" t="s">
        <v>1133</v>
      </c>
      <c r="W21" s="14">
        <v>600</v>
      </c>
      <c r="X21" s="17" t="s">
        <v>130</v>
      </c>
    </row>
    <row r="22" spans="2:24" x14ac:dyDescent="0.2">
      <c r="B22" s="1718" t="s">
        <v>1041</v>
      </c>
      <c r="C22" s="1002"/>
      <c r="D22" s="1719"/>
      <c r="E22" s="1720"/>
      <c r="G22" s="763" t="s">
        <v>1188</v>
      </c>
      <c r="H22" s="191">
        <f>H20*H21</f>
        <v>0</v>
      </c>
      <c r="I22" s="759" t="s">
        <v>654</v>
      </c>
      <c r="J22" s="769"/>
      <c r="K22" s="769"/>
      <c r="L22" s="769"/>
      <c r="M22" s="769"/>
      <c r="N22" s="769"/>
      <c r="O22" s="769"/>
      <c r="P22" s="769"/>
      <c r="Q22" s="769"/>
      <c r="R22" s="769"/>
      <c r="S22" s="769"/>
      <c r="T22" s="769"/>
      <c r="V22" s="15" t="s">
        <v>1134</v>
      </c>
      <c r="W22" s="16">
        <f>W20/1000*W21/1000</f>
        <v>0.24</v>
      </c>
      <c r="X22" s="17" t="s">
        <v>81</v>
      </c>
    </row>
    <row r="23" spans="2:24" ht="13.5" x14ac:dyDescent="0.2">
      <c r="B23" s="29" t="s">
        <v>633</v>
      </c>
      <c r="C23" s="18" t="s">
        <v>1173</v>
      </c>
      <c r="D23" s="776">
        <f>'01_ALGEMEEN'!P103</f>
        <v>8.6084800000000001</v>
      </c>
      <c r="E23" s="785" t="s">
        <v>588</v>
      </c>
      <c r="G23" s="837" t="s">
        <v>1186</v>
      </c>
      <c r="H23" s="1710">
        <f>H22+H17</f>
        <v>120</v>
      </c>
      <c r="I23" s="930" t="s">
        <v>654</v>
      </c>
      <c r="J23" s="769"/>
      <c r="K23" s="769"/>
      <c r="L23" s="769"/>
      <c r="M23" s="769"/>
      <c r="N23" s="769"/>
      <c r="O23" s="769"/>
      <c r="P23" s="769"/>
      <c r="Q23" s="769"/>
      <c r="R23" s="769"/>
      <c r="S23" s="769"/>
      <c r="T23" s="769"/>
      <c r="V23" s="189" t="s">
        <v>1211</v>
      </c>
      <c r="W23" s="16">
        <f>('04_LIGGERS'!$G$4-2)*('04_LIGGERS'!$D$3)*('04_LIGGERS'!$G$3-1)+('04_LIGGERS'!$G$3-2)*('04_LIGGERS'!$D$4)*('04_LIGGERS'!$G$4-1)</f>
        <v>368.8</v>
      </c>
      <c r="X23" s="17" t="s">
        <v>17</v>
      </c>
    </row>
    <row r="24" spans="2:24" ht="13.5" x14ac:dyDescent="0.2">
      <c r="B24" s="1049" t="s">
        <v>634</v>
      </c>
      <c r="C24" s="1721" t="s">
        <v>1174</v>
      </c>
      <c r="D24" s="931">
        <f>'01_ALGEMEEN'!$R$103</f>
        <v>6.3584800000000001</v>
      </c>
      <c r="E24" s="786" t="s">
        <v>588</v>
      </c>
      <c r="G24" s="763"/>
      <c r="H24" s="769"/>
      <c r="I24" s="759"/>
      <c r="J24" s="769"/>
      <c r="K24" s="769"/>
      <c r="L24" s="769"/>
      <c r="M24" s="769"/>
      <c r="N24" s="769"/>
      <c r="O24" s="769"/>
      <c r="P24" s="769"/>
      <c r="Q24" s="769"/>
      <c r="R24" s="769"/>
      <c r="S24" s="769"/>
      <c r="T24" s="769"/>
      <c r="V24" s="15" t="s">
        <v>1135</v>
      </c>
      <c r="W24" s="16">
        <f>W23*W22</f>
        <v>88.512</v>
      </c>
      <c r="X24" s="17" t="s">
        <v>230</v>
      </c>
    </row>
    <row r="25" spans="2:24" x14ac:dyDescent="0.2">
      <c r="B25" s="1084" t="s">
        <v>1042</v>
      </c>
      <c r="C25" s="18"/>
      <c r="D25" s="775"/>
      <c r="E25" s="785"/>
      <c r="G25" s="922" t="s">
        <v>1131</v>
      </c>
      <c r="H25" s="848">
        <v>2400</v>
      </c>
      <c r="I25" s="923" t="s">
        <v>137</v>
      </c>
      <c r="J25" s="769"/>
      <c r="K25" s="769"/>
      <c r="L25" s="769"/>
      <c r="M25" s="769"/>
      <c r="N25" s="769"/>
      <c r="O25" s="769"/>
      <c r="P25" s="769"/>
      <c r="Q25" s="769"/>
      <c r="R25" s="769"/>
      <c r="S25" s="769"/>
      <c r="T25" s="769"/>
      <c r="V25" s="15"/>
      <c r="W25" s="14"/>
      <c r="X25" s="17"/>
    </row>
    <row r="26" spans="2:24" ht="13.5" x14ac:dyDescent="0.2">
      <c r="B26" s="29" t="s">
        <v>633</v>
      </c>
      <c r="C26" s="18" t="s">
        <v>1175</v>
      </c>
      <c r="D26" s="776">
        <f>'01_ALGEMEEN'!P148</f>
        <v>9.3584800000000001</v>
      </c>
      <c r="E26" s="785" t="s">
        <v>588</v>
      </c>
      <c r="G26" s="24" t="s">
        <v>1180</v>
      </c>
      <c r="H26" s="14">
        <v>7850</v>
      </c>
      <c r="I26" s="17" t="s">
        <v>137</v>
      </c>
      <c r="J26" s="769"/>
      <c r="K26" s="769"/>
      <c r="L26" s="769"/>
      <c r="M26" s="769"/>
      <c r="N26" s="769"/>
      <c r="O26" s="769"/>
      <c r="P26" s="769"/>
      <c r="Q26" s="769"/>
      <c r="R26" s="769"/>
      <c r="S26" s="769"/>
      <c r="T26" s="769"/>
      <c r="V26" s="15" t="s">
        <v>1150</v>
      </c>
      <c r="W26" s="16">
        <f>W24*2400</f>
        <v>212428.79999999999</v>
      </c>
      <c r="X26" s="17" t="s">
        <v>104</v>
      </c>
    </row>
    <row r="27" spans="2:24" ht="13.5" x14ac:dyDescent="0.2">
      <c r="B27" s="29" t="s">
        <v>634</v>
      </c>
      <c r="C27" s="18" t="s">
        <v>1176</v>
      </c>
      <c r="D27" s="776">
        <f>'01_ALGEMEEN'!R148</f>
        <v>6.7334800000000001</v>
      </c>
      <c r="E27" s="785" t="s">
        <v>588</v>
      </c>
      <c r="G27" s="924" t="s">
        <v>1181</v>
      </c>
      <c r="H27" s="20">
        <v>1.5</v>
      </c>
      <c r="I27" s="21" t="s">
        <v>656</v>
      </c>
      <c r="J27" s="769"/>
      <c r="K27" s="769"/>
      <c r="L27" s="769"/>
      <c r="M27" s="769"/>
      <c r="N27" s="769"/>
      <c r="O27" s="769"/>
      <c r="P27" s="769"/>
      <c r="Q27" s="769"/>
      <c r="R27" s="769"/>
      <c r="S27" s="769"/>
      <c r="T27" s="769"/>
      <c r="V27" s="15" t="s">
        <v>1151</v>
      </c>
      <c r="W27" s="16">
        <f>W24*W5</f>
        <v>7966.08</v>
      </c>
      <c r="X27" s="17" t="s">
        <v>104</v>
      </c>
    </row>
    <row r="28" spans="2:24" x14ac:dyDescent="0.2">
      <c r="B28" s="1718" t="s">
        <v>589</v>
      </c>
      <c r="C28" s="1002"/>
      <c r="D28" s="1719"/>
      <c r="E28" s="1720"/>
      <c r="G28" s="763"/>
      <c r="H28" s="775"/>
      <c r="I28" s="759"/>
      <c r="J28" s="763"/>
      <c r="K28" s="769"/>
      <c r="L28" s="769"/>
      <c r="M28" s="769"/>
      <c r="N28" s="769"/>
      <c r="O28" s="769"/>
      <c r="P28" s="769"/>
      <c r="Q28" s="769"/>
      <c r="R28" s="769"/>
      <c r="S28" s="769"/>
      <c r="T28" s="769"/>
      <c r="V28" s="15" t="s">
        <v>1154</v>
      </c>
      <c r="W28" s="16">
        <f>W26/D10</f>
        <v>13.051658884246743</v>
      </c>
      <c r="X28" s="17" t="s">
        <v>64</v>
      </c>
    </row>
    <row r="29" spans="2:24" ht="13.5" x14ac:dyDescent="0.2">
      <c r="B29" s="760" t="s">
        <v>589</v>
      </c>
      <c r="C29" s="791" t="s">
        <v>648</v>
      </c>
      <c r="D29" s="931">
        <f>'01_ALGEMEEN'!$P$189</f>
        <v>6.8699999999999992</v>
      </c>
      <c r="E29" s="786" t="s">
        <v>588</v>
      </c>
      <c r="G29" s="763" t="s">
        <v>1156</v>
      </c>
      <c r="H29" s="191">
        <f>H23*VLOOKUP(D33,J5:S8,10,0)*H25</f>
        <v>746495.99999999988</v>
      </c>
      <c r="I29" s="759" t="s">
        <v>104</v>
      </c>
      <c r="J29" s="790"/>
      <c r="K29" s="790"/>
      <c r="L29" s="790"/>
      <c r="M29" s="790"/>
      <c r="N29" s="790"/>
      <c r="O29" s="790"/>
      <c r="P29" s="790"/>
      <c r="Q29" s="790"/>
      <c r="R29" s="790"/>
      <c r="S29" s="790"/>
      <c r="T29" s="790"/>
      <c r="V29" s="15" t="s">
        <v>1155</v>
      </c>
      <c r="W29" s="16">
        <f>W27/D10</f>
        <v>0.4894372081592529</v>
      </c>
      <c r="X29" s="17" t="s">
        <v>64</v>
      </c>
    </row>
    <row r="30" spans="2:24" ht="12.75" thickBot="1" x14ac:dyDescent="0.25">
      <c r="F30" s="759"/>
      <c r="G30" s="763" t="s">
        <v>1148</v>
      </c>
      <c r="H30" s="191">
        <f>H29/$D$10</f>
        <v>45.864831653969027</v>
      </c>
      <c r="I30" s="759" t="s">
        <v>64</v>
      </c>
      <c r="J30" s="57"/>
      <c r="K30" s="57"/>
      <c r="L30" s="57"/>
      <c r="M30" s="57"/>
      <c r="N30" s="57"/>
      <c r="O30" s="57"/>
      <c r="P30" s="57"/>
      <c r="Q30" s="57"/>
      <c r="R30" s="57"/>
      <c r="S30" s="57"/>
      <c r="T30" s="790"/>
      <c r="V30" s="24"/>
      <c r="W30" s="14"/>
      <c r="X30" s="17"/>
    </row>
    <row r="31" spans="2:24" ht="16.5" thickBot="1" x14ac:dyDescent="0.3">
      <c r="B31" s="49" t="s">
        <v>590</v>
      </c>
      <c r="C31" s="932"/>
      <c r="D31" s="770"/>
      <c r="E31" s="781"/>
      <c r="G31" s="763" t="s">
        <v>1185</v>
      </c>
      <c r="H31" s="191">
        <f>H23*VLOOKUP(D33,J5:S8,10,0)*(H27/100)*H26</f>
        <v>36624.959999999999</v>
      </c>
      <c r="I31" s="759" t="s">
        <v>104</v>
      </c>
      <c r="J31" s="769"/>
      <c r="K31" s="769"/>
      <c r="L31" s="769"/>
      <c r="M31" s="769"/>
      <c r="V31" s="853" t="s">
        <v>1148</v>
      </c>
      <c r="W31" s="926">
        <f>W16+W28</f>
        <v>19.209437208159251</v>
      </c>
      <c r="X31" s="928" t="s">
        <v>64</v>
      </c>
    </row>
    <row r="32" spans="2:24" x14ac:dyDescent="0.2">
      <c r="B32" s="762" t="s">
        <v>5</v>
      </c>
      <c r="C32" s="790"/>
      <c r="D32" s="777" t="str">
        <f>'01_ALGEMEEN'!$D$63</f>
        <v>prefab betonnen heipalen</v>
      </c>
      <c r="E32" s="764" t="str">
        <f>VLOOKUP(D33,J5:L8,3,0)</f>
        <v>360*360</v>
      </c>
      <c r="G32" s="760" t="s">
        <v>1184</v>
      </c>
      <c r="H32" s="939">
        <f>H31/$D$10</f>
        <v>2.2502433030228555</v>
      </c>
      <c r="I32" s="761" t="s">
        <v>64</v>
      </c>
      <c r="J32" s="769"/>
      <c r="K32" s="769"/>
      <c r="L32" s="769"/>
      <c r="M32" s="769"/>
      <c r="V32" s="855" t="s">
        <v>1149</v>
      </c>
      <c r="W32" s="925">
        <f>W17+W29</f>
        <v>0.72035389530597194</v>
      </c>
      <c r="X32" s="929" t="s">
        <v>64</v>
      </c>
    </row>
    <row r="33" spans="1:31" ht="12.75" thickBot="1" x14ac:dyDescent="0.25">
      <c r="B33" s="762" t="s">
        <v>94</v>
      </c>
      <c r="C33" s="790" t="s">
        <v>652</v>
      </c>
      <c r="D33" s="777">
        <f>'01_ALGEMEEN'!$D$64</f>
        <v>1500</v>
      </c>
      <c r="E33" s="783" t="s">
        <v>82</v>
      </c>
      <c r="J33" s="769"/>
      <c r="K33" s="769"/>
      <c r="L33" s="769"/>
      <c r="M33" s="769"/>
      <c r="W33" s="766"/>
    </row>
    <row r="34" spans="1:31" ht="12.75" thickBot="1" x14ac:dyDescent="0.25">
      <c r="B34" s="763" t="s">
        <v>267</v>
      </c>
      <c r="C34" s="769"/>
      <c r="D34" s="773">
        <f>'01_ALGEMEEN'!$E$64</f>
        <v>20</v>
      </c>
      <c r="E34" s="782" t="s">
        <v>17</v>
      </c>
      <c r="G34" s="254" t="s">
        <v>274</v>
      </c>
      <c r="H34" s="767"/>
      <c r="I34" s="256"/>
      <c r="V34" s="254" t="s">
        <v>591</v>
      </c>
      <c r="W34" s="767"/>
      <c r="X34" s="255"/>
      <c r="Y34" s="255"/>
      <c r="Z34" s="255"/>
      <c r="AA34" s="255"/>
      <c r="AB34" s="255"/>
      <c r="AC34" s="255"/>
      <c r="AD34" s="255"/>
      <c r="AE34" s="256"/>
    </row>
    <row r="35" spans="1:31" x14ac:dyDescent="0.2">
      <c r="B35" s="762"/>
      <c r="C35" s="790"/>
      <c r="D35" s="751"/>
      <c r="E35" s="783"/>
      <c r="G35" s="763"/>
      <c r="H35" s="775"/>
      <c r="I35" s="759"/>
      <c r="K35" s="790"/>
      <c r="L35" s="790"/>
      <c r="M35" s="790"/>
      <c r="N35" s="790"/>
      <c r="O35" s="790"/>
      <c r="P35" s="790"/>
      <c r="Q35" s="790"/>
      <c r="V35" s="942"/>
      <c r="W35" s="943"/>
      <c r="X35" s="944"/>
      <c r="Y35" s="944"/>
      <c r="Z35" s="944"/>
      <c r="AA35" s="944"/>
      <c r="AB35" s="944"/>
      <c r="AC35" s="944"/>
      <c r="AD35" s="944"/>
      <c r="AE35" s="945"/>
    </row>
    <row r="36" spans="1:31" x14ac:dyDescent="0.2">
      <c r="B36" s="762" t="s">
        <v>95</v>
      </c>
      <c r="C36" s="790"/>
      <c r="D36" s="751">
        <f>H23</f>
        <v>120</v>
      </c>
      <c r="E36" s="783" t="s">
        <v>96</v>
      </c>
      <c r="G36" s="763" t="s">
        <v>1140</v>
      </c>
      <c r="H36" s="769">
        <v>2400</v>
      </c>
      <c r="I36" s="759" t="s">
        <v>137</v>
      </c>
      <c r="K36" s="790"/>
      <c r="L36" s="790"/>
      <c r="M36" s="790"/>
      <c r="N36" s="790"/>
      <c r="O36" s="790"/>
      <c r="P36" s="790"/>
      <c r="Q36" s="790"/>
      <c r="V36" s="946" t="s">
        <v>658</v>
      </c>
      <c r="W36" s="947" t="s">
        <v>715</v>
      </c>
      <c r="X36" s="948"/>
      <c r="Y36" s="947" t="s">
        <v>448</v>
      </c>
      <c r="Z36" s="948"/>
      <c r="AA36" s="949" t="s">
        <v>449</v>
      </c>
      <c r="AB36" s="948"/>
      <c r="AC36" s="969" t="s">
        <v>487</v>
      </c>
      <c r="AD36" s="970">
        <v>20</v>
      </c>
      <c r="AE36" s="964" t="s">
        <v>456</v>
      </c>
    </row>
    <row r="37" spans="1:31" x14ac:dyDescent="0.2">
      <c r="B37" s="762" t="s">
        <v>0</v>
      </c>
      <c r="C37" s="790"/>
      <c r="D37" s="751">
        <f>H30</f>
        <v>45.864831653969027</v>
      </c>
      <c r="E37" s="783" t="s">
        <v>97</v>
      </c>
      <c r="G37" s="15" t="s">
        <v>1141</v>
      </c>
      <c r="H37" s="769">
        <v>150</v>
      </c>
      <c r="I37" s="759" t="s">
        <v>137</v>
      </c>
      <c r="K37" s="790"/>
      <c r="L37" s="790"/>
      <c r="M37" s="790"/>
      <c r="N37" s="790"/>
      <c r="O37" s="790"/>
      <c r="P37" s="790"/>
      <c r="Q37" s="790"/>
      <c r="V37" s="951" t="s">
        <v>446</v>
      </c>
      <c r="W37" s="952">
        <f>'02_BG VLOER'!S3+'02_BG VLOER'!S4</f>
        <v>4</v>
      </c>
      <c r="X37" s="948" t="s">
        <v>16</v>
      </c>
      <c r="Y37" s="952">
        <f>'01_ALGEMEEN'!N69</f>
        <v>2.25</v>
      </c>
      <c r="Z37" s="953" t="s">
        <v>269</v>
      </c>
      <c r="AA37" s="952">
        <f>'01_ALGEMEEN'!N70</f>
        <v>0.4</v>
      </c>
      <c r="AB37" s="948"/>
      <c r="AC37" s="971" t="s">
        <v>488</v>
      </c>
      <c r="AD37" s="972">
        <v>20</v>
      </c>
      <c r="AE37" s="950" t="s">
        <v>456</v>
      </c>
    </row>
    <row r="38" spans="1:31" x14ac:dyDescent="0.2">
      <c r="A38" s="769"/>
      <c r="B38" s="762" t="s">
        <v>98</v>
      </c>
      <c r="C38" s="790"/>
      <c r="D38" s="750">
        <f>H32</f>
        <v>2.2502433030228555</v>
      </c>
      <c r="E38" s="783" t="s">
        <v>97</v>
      </c>
      <c r="F38" s="769"/>
      <c r="G38" s="763" t="s">
        <v>1249</v>
      </c>
      <c r="H38" s="773">
        <f>D11*D12</f>
        <v>45</v>
      </c>
      <c r="I38" s="759"/>
      <c r="K38" s="1713"/>
      <c r="L38" s="1713"/>
      <c r="M38" s="790"/>
      <c r="N38" s="790"/>
      <c r="O38" s="790"/>
      <c r="P38" s="790"/>
      <c r="Q38" s="790"/>
      <c r="V38" s="951" t="s">
        <v>659</v>
      </c>
      <c r="W38" s="952">
        <f>IF('01_ALGEMEEN'!F52=2,'03_VERD VLOEREN'!C8+'03_VERD VLOEREN'!C9,IF('01_ALGEMEEN'!F52=1,'03_VERD VLOEREN'!D124,0))</f>
        <v>0</v>
      </c>
      <c r="X38" s="948" t="s">
        <v>16</v>
      </c>
      <c r="Y38" s="952">
        <f>IF('01_ALGEMEEN'!F52=2,'01_ALGEMEEN'!N96,IF('01_ALGEMEEN'!F52=1,'03_VERD VLOEREN'!D125,0))</f>
        <v>0</v>
      </c>
      <c r="Z38" s="953" t="s">
        <v>269</v>
      </c>
      <c r="AA38" s="952">
        <f>IF('01_ALGEMEEN'!F52=2,'01_ALGEMEEN'!N97,IF('01_ALGEMEEN'!F52=1,0,0))</f>
        <v>0</v>
      </c>
      <c r="AB38" s="948"/>
      <c r="AC38" s="971" t="s">
        <v>88</v>
      </c>
      <c r="AD38" s="972">
        <v>24</v>
      </c>
      <c r="AE38" s="950" t="s">
        <v>456</v>
      </c>
    </row>
    <row r="39" spans="1:31" x14ac:dyDescent="0.2">
      <c r="A39" s="769"/>
      <c r="B39" s="758" t="s">
        <v>416</v>
      </c>
      <c r="C39" s="935"/>
      <c r="D39" s="778">
        <f>D36*D34</f>
        <v>2400</v>
      </c>
      <c r="E39" s="787" t="s">
        <v>415</v>
      </c>
      <c r="F39" s="769"/>
      <c r="G39" s="763"/>
      <c r="H39" s="775"/>
      <c r="I39" s="759"/>
      <c r="K39" s="1709"/>
      <c r="L39" s="1709"/>
      <c r="M39" s="790"/>
      <c r="N39" s="790"/>
      <c r="O39" s="790"/>
      <c r="P39" s="790"/>
      <c r="Q39" s="790"/>
      <c r="V39" s="951" t="s">
        <v>447</v>
      </c>
      <c r="W39" s="952">
        <f>IF('01_ALGEMEEN'!F52=2,'03_VERD VLOEREN'!D124,0)</f>
        <v>0</v>
      </c>
      <c r="X39" s="948" t="s">
        <v>16</v>
      </c>
      <c r="Y39" s="952">
        <f>IF('01_ALGEMEEN'!F52=2,'03_VERD VLOEREN'!D125,0)</f>
        <v>0</v>
      </c>
      <c r="Z39" s="953" t="s">
        <v>269</v>
      </c>
      <c r="AA39" s="952">
        <v>0</v>
      </c>
      <c r="AB39" s="948"/>
      <c r="AC39" s="971" t="s">
        <v>617</v>
      </c>
      <c r="AD39" s="972">
        <v>24</v>
      </c>
      <c r="AE39" s="950" t="s">
        <v>456</v>
      </c>
    </row>
    <row r="40" spans="1:31" ht="12.75" thickBot="1" x14ac:dyDescent="0.25">
      <c r="A40" s="769"/>
      <c r="F40" s="769"/>
      <c r="G40" s="837" t="s">
        <v>278</v>
      </c>
      <c r="H40" s="840">
        <v>2</v>
      </c>
      <c r="I40" s="759"/>
      <c r="K40" s="151"/>
      <c r="L40" s="790"/>
      <c r="M40" s="790"/>
      <c r="N40" s="790"/>
      <c r="O40" s="790"/>
      <c r="P40" s="790"/>
      <c r="Q40" s="790"/>
      <c r="V40" s="951"/>
      <c r="W40" s="954"/>
      <c r="X40" s="948"/>
      <c r="Y40" s="954"/>
      <c r="Z40" s="954"/>
      <c r="AA40" s="948"/>
      <c r="AB40" s="948"/>
      <c r="AC40" s="971" t="s">
        <v>489</v>
      </c>
      <c r="AD40" s="972">
        <v>22</v>
      </c>
      <c r="AE40" s="950" t="s">
        <v>456</v>
      </c>
    </row>
    <row r="41" spans="1:31" ht="16.5" thickBot="1" x14ac:dyDescent="0.3">
      <c r="A41" s="769"/>
      <c r="B41" s="49" t="s">
        <v>274</v>
      </c>
      <c r="C41" s="932"/>
      <c r="D41" s="770"/>
      <c r="E41" s="781"/>
      <c r="F41" s="769"/>
      <c r="G41" s="837" t="str">
        <f>CONCATENATE("(toepassen t/m ",H40," bouwlagen)")</f>
        <v>(toepassen t/m 2 bouwlagen)</v>
      </c>
      <c r="H41" s="775"/>
      <c r="I41" s="759"/>
      <c r="K41" s="151"/>
      <c r="L41" s="57"/>
      <c r="M41" s="790"/>
      <c r="N41" s="790"/>
      <c r="O41" s="790"/>
      <c r="P41" s="790"/>
      <c r="Q41" s="790"/>
      <c r="V41" s="951" t="s">
        <v>450</v>
      </c>
      <c r="W41" s="952">
        <f>SUM(W37:W40)</f>
        <v>4</v>
      </c>
      <c r="X41" s="948" t="s">
        <v>16</v>
      </c>
      <c r="Y41" s="952" t="b">
        <f>IF('01_ALGEMEEN'!F52=2,Y37+Y38*AA38+Y39*AA39,IF('01_ALGEMEEN'!F52=1,'07_FUNDERING'!Y37+'07_FUNDERING'!Y38*'07_FUNDERING'!AA38))</f>
        <v>0</v>
      </c>
      <c r="Z41" s="953" t="s">
        <v>269</v>
      </c>
      <c r="AA41" s="948"/>
      <c r="AB41" s="948"/>
      <c r="AC41" s="973">
        <v>0</v>
      </c>
      <c r="AD41" s="968">
        <v>0</v>
      </c>
      <c r="AE41" s="967" t="s">
        <v>456</v>
      </c>
    </row>
    <row r="42" spans="1:31" x14ac:dyDescent="0.2">
      <c r="A42" s="769"/>
      <c r="B42" s="763" t="s">
        <v>277</v>
      </c>
      <c r="C42" s="769"/>
      <c r="D42" s="773">
        <f>H38</f>
        <v>45</v>
      </c>
      <c r="E42" s="782"/>
      <c r="F42" s="769"/>
      <c r="G42" s="763" t="s">
        <v>1144</v>
      </c>
      <c r="H42" s="775">
        <v>2000</v>
      </c>
      <c r="I42" s="759" t="s">
        <v>130</v>
      </c>
      <c r="K42" s="151"/>
      <c r="L42" s="57"/>
      <c r="M42" s="790"/>
      <c r="N42" s="790"/>
      <c r="O42" s="790"/>
      <c r="P42" s="790"/>
      <c r="Q42" s="790"/>
      <c r="V42" s="951" t="s">
        <v>451</v>
      </c>
      <c r="W42" s="952">
        <f>W41*D48</f>
        <v>21.6</v>
      </c>
      <c r="X42" s="948" t="s">
        <v>16</v>
      </c>
      <c r="Y42" s="952">
        <f>Y41*D48</f>
        <v>0</v>
      </c>
      <c r="Z42" s="953" t="s">
        <v>269</v>
      </c>
      <c r="AA42" s="953"/>
      <c r="AB42" s="953"/>
      <c r="AC42" s="953"/>
      <c r="AD42" s="953"/>
      <c r="AE42" s="950"/>
    </row>
    <row r="43" spans="1:31" x14ac:dyDescent="0.2">
      <c r="A43" s="769"/>
      <c r="B43" s="763" t="s">
        <v>643</v>
      </c>
      <c r="C43" s="769"/>
      <c r="D43" s="773" t="str">
        <f>IF(D3&lt;=H52,G40,G52)</f>
        <v>4-paalspoeren</v>
      </c>
      <c r="E43" s="782"/>
      <c r="F43" s="769"/>
      <c r="G43" s="763" t="s">
        <v>1142</v>
      </c>
      <c r="H43" s="775">
        <v>1000</v>
      </c>
      <c r="I43" s="759" t="s">
        <v>130</v>
      </c>
      <c r="K43" s="151"/>
      <c r="L43" s="57"/>
      <c r="M43" s="790"/>
      <c r="N43" s="790"/>
      <c r="O43" s="790"/>
      <c r="P43" s="790"/>
      <c r="Q43" s="790"/>
      <c r="V43" s="946" t="s">
        <v>452</v>
      </c>
      <c r="W43" s="955"/>
      <c r="X43" s="955"/>
      <c r="Y43" s="956">
        <f>1.2*W42+1.5*Y42</f>
        <v>25.92</v>
      </c>
      <c r="Z43" s="957" t="s">
        <v>269</v>
      </c>
      <c r="AA43" s="953"/>
      <c r="AB43" s="953"/>
      <c r="AC43" s="953"/>
      <c r="AD43" s="953"/>
      <c r="AE43" s="950"/>
    </row>
    <row r="44" spans="1:31" x14ac:dyDescent="0.2">
      <c r="A44" s="769"/>
      <c r="B44" s="763" t="s">
        <v>268</v>
      </c>
      <c r="C44" s="769"/>
      <c r="D44" s="196">
        <f>IF(D43=G40,H49,IF(D43=G52,H62))</f>
        <v>26.542147947898748</v>
      </c>
      <c r="E44" s="782" t="s">
        <v>97</v>
      </c>
      <c r="F44" s="769"/>
      <c r="G44" s="763" t="s">
        <v>1143</v>
      </c>
      <c r="H44" s="775">
        <v>1000</v>
      </c>
      <c r="I44" s="759" t="s">
        <v>130</v>
      </c>
      <c r="K44" s="151"/>
      <c r="L44" s="57"/>
      <c r="M44" s="790"/>
      <c r="N44" s="790"/>
      <c r="O44" s="790"/>
      <c r="P44" s="790"/>
      <c r="Q44" s="790"/>
      <c r="V44" s="951"/>
      <c r="W44" s="949"/>
      <c r="X44" s="953"/>
      <c r="Y44" s="953"/>
      <c r="Z44" s="953"/>
      <c r="AA44" s="953"/>
      <c r="AB44" s="953"/>
      <c r="AC44" s="953"/>
      <c r="AD44" s="953"/>
      <c r="AE44" s="950"/>
    </row>
    <row r="45" spans="1:31" x14ac:dyDescent="0.2">
      <c r="A45" s="769"/>
      <c r="B45" s="760" t="s">
        <v>433</v>
      </c>
      <c r="C45" s="791"/>
      <c r="D45" s="839">
        <f>IF(D43=G40,H50,IF(D43=G52,H63))</f>
        <v>1.6588842467436717</v>
      </c>
      <c r="E45" s="788" t="s">
        <v>97</v>
      </c>
      <c r="F45" s="769"/>
      <c r="G45" s="763" t="s">
        <v>1145</v>
      </c>
      <c r="H45" s="196">
        <f>H42/1000*H43/1000*H44/1000</f>
        <v>2</v>
      </c>
      <c r="I45" s="759" t="s">
        <v>230</v>
      </c>
      <c r="K45" s="151"/>
      <c r="L45" s="57"/>
      <c r="M45" s="790"/>
      <c r="N45" s="790"/>
      <c r="O45" s="790"/>
      <c r="P45" s="790"/>
      <c r="Q45" s="790"/>
      <c r="V45" s="946" t="s">
        <v>453</v>
      </c>
      <c r="W45" s="949"/>
      <c r="X45" s="953"/>
      <c r="Y45" s="953"/>
      <c r="Z45" s="953"/>
      <c r="AA45" s="953"/>
      <c r="AB45" s="953"/>
      <c r="AC45" s="953"/>
      <c r="AD45" s="953"/>
      <c r="AE45" s="950"/>
    </row>
    <row r="46" spans="1:31" ht="12.75" thickBot="1" x14ac:dyDescent="0.25">
      <c r="A46" s="769"/>
      <c r="F46" s="769"/>
      <c r="G46" s="763"/>
      <c r="H46" s="775"/>
      <c r="I46" s="759"/>
      <c r="K46" s="151"/>
      <c r="L46" s="57"/>
      <c r="M46" s="790"/>
      <c r="N46" s="790"/>
      <c r="O46" s="790"/>
      <c r="P46" s="790"/>
      <c r="Q46" s="790"/>
      <c r="V46" s="951" t="s">
        <v>454</v>
      </c>
      <c r="W46" s="958">
        <f>IF(D13="dragende wanden",'05_VERT DRAAGSTRUCTUUR'!C81*0.001,0)</f>
        <v>0</v>
      </c>
      <c r="X46" s="953" t="s">
        <v>17</v>
      </c>
      <c r="Y46" s="953"/>
      <c r="Z46" s="953"/>
      <c r="AA46" s="953"/>
      <c r="AB46" s="953"/>
      <c r="AC46" s="953"/>
      <c r="AD46" s="953"/>
      <c r="AE46" s="950"/>
    </row>
    <row r="47" spans="1:31" ht="16.5" thickBot="1" x14ac:dyDescent="0.3">
      <c r="A47" s="769"/>
      <c r="B47" s="49" t="s">
        <v>591</v>
      </c>
      <c r="C47" s="932"/>
      <c r="D47" s="770"/>
      <c r="E47" s="781"/>
      <c r="F47" s="769"/>
      <c r="G47" s="763" t="s">
        <v>1146</v>
      </c>
      <c r="H47" s="773">
        <f>H45*H36</f>
        <v>4800</v>
      </c>
      <c r="I47" s="759" t="s">
        <v>104</v>
      </c>
      <c r="K47" s="151"/>
      <c r="L47" s="1711"/>
      <c r="M47" s="790"/>
      <c r="N47" s="790"/>
      <c r="O47" s="790"/>
      <c r="P47" s="790"/>
      <c r="Q47" s="790"/>
      <c r="V47" s="951" t="s">
        <v>431</v>
      </c>
      <c r="W47" s="958">
        <f>IF('01_ALGEMEEN'!D17="dragende wanden",'01_ALGEMEEN'!F17,0)</f>
        <v>0</v>
      </c>
      <c r="X47" s="953"/>
      <c r="Y47" s="953"/>
      <c r="Z47" s="953"/>
      <c r="AA47" s="953"/>
      <c r="AB47" s="953"/>
      <c r="AC47" s="953"/>
      <c r="AD47" s="953"/>
      <c r="AE47" s="950"/>
    </row>
    <row r="48" spans="1:31" x14ac:dyDescent="0.2">
      <c r="A48" s="769"/>
      <c r="B48" s="763" t="s">
        <v>445</v>
      </c>
      <c r="C48" s="769"/>
      <c r="D48" s="773">
        <f>'02_BG VLOER'!C3</f>
        <v>5.4</v>
      </c>
      <c r="E48" s="759" t="s">
        <v>17</v>
      </c>
      <c r="F48" s="769"/>
      <c r="G48" s="763" t="s">
        <v>1147</v>
      </c>
      <c r="H48" s="773">
        <f>H45*H37</f>
        <v>300</v>
      </c>
      <c r="I48" s="759" t="s">
        <v>104</v>
      </c>
      <c r="K48" s="790"/>
      <c r="L48" s="1711"/>
      <c r="M48" s="790"/>
      <c r="N48" s="790"/>
      <c r="O48" s="790"/>
      <c r="P48" s="790"/>
      <c r="Q48" s="790"/>
      <c r="V48" s="951" t="s">
        <v>455</v>
      </c>
      <c r="W48" s="958">
        <f>VLOOKUP(W47,AC36:AD41,2,0)</f>
        <v>0</v>
      </c>
      <c r="X48" s="953" t="s">
        <v>456</v>
      </c>
      <c r="Y48" s="953"/>
      <c r="Z48" s="953"/>
      <c r="AA48" s="953"/>
      <c r="AB48" s="953"/>
      <c r="AC48" s="953"/>
      <c r="AD48" s="953"/>
      <c r="AE48" s="950"/>
    </row>
    <row r="49" spans="1:31" x14ac:dyDescent="0.2">
      <c r="A49" s="769"/>
      <c r="B49" s="763" t="s">
        <v>465</v>
      </c>
      <c r="C49" s="769"/>
      <c r="D49" s="773" t="str">
        <f>CONCATENATE(W54,"*250+600*250")</f>
        <v>100*250+600*250</v>
      </c>
      <c r="E49" s="782"/>
      <c r="F49" s="769"/>
      <c r="G49" s="763" t="s">
        <v>1160</v>
      </c>
      <c r="H49" s="196">
        <f>(H38*H47)/D10</f>
        <v>13.271073973949374</v>
      </c>
      <c r="I49" s="759" t="s">
        <v>64</v>
      </c>
      <c r="K49" s="790"/>
      <c r="L49" s="1711"/>
      <c r="M49" s="790"/>
      <c r="N49" s="790"/>
      <c r="O49" s="790"/>
      <c r="P49" s="790"/>
      <c r="Q49" s="790"/>
      <c r="V49" s="951" t="s">
        <v>457</v>
      </c>
      <c r="W49" s="959">
        <f>'01_ALGEMEEN'!$F$53</f>
        <v>64.5</v>
      </c>
      <c r="X49" s="953" t="s">
        <v>17</v>
      </c>
      <c r="Y49" s="953"/>
      <c r="Z49" s="953"/>
      <c r="AA49" s="953"/>
      <c r="AB49" s="953"/>
      <c r="AC49" s="953"/>
      <c r="AD49" s="953"/>
      <c r="AE49" s="950"/>
    </row>
    <row r="50" spans="1:31" x14ac:dyDescent="0.2">
      <c r="A50" s="769"/>
      <c r="B50" s="763"/>
      <c r="C50" s="769"/>
      <c r="D50" s="775"/>
      <c r="E50" s="782"/>
      <c r="F50" s="769"/>
      <c r="G50" s="763" t="s">
        <v>1159</v>
      </c>
      <c r="H50" s="196">
        <f>(H38*H48)/D10</f>
        <v>0.82944212337183587</v>
      </c>
      <c r="I50" s="759" t="s">
        <v>64</v>
      </c>
      <c r="K50" s="790"/>
      <c r="L50" s="790"/>
      <c r="M50" s="790"/>
      <c r="N50" s="790"/>
      <c r="O50" s="790"/>
      <c r="P50" s="790"/>
      <c r="Q50" s="790"/>
      <c r="V50" s="951" t="s">
        <v>458</v>
      </c>
      <c r="W50" s="958">
        <f>IF(W47="houtskeletbouw",1.5*W49*1.2,W46*W48*W49*1.2)</f>
        <v>0</v>
      </c>
      <c r="X50" s="953" t="s">
        <v>269</v>
      </c>
      <c r="Y50" s="953"/>
      <c r="Z50" s="953"/>
      <c r="AA50" s="953"/>
      <c r="AB50" s="953"/>
      <c r="AC50" s="953"/>
      <c r="AD50" s="953"/>
      <c r="AE50" s="950"/>
    </row>
    <row r="51" spans="1:31" x14ac:dyDescent="0.2">
      <c r="A51" s="769"/>
      <c r="B51" s="763" t="s">
        <v>617</v>
      </c>
      <c r="C51" s="769"/>
      <c r="D51" s="191">
        <f>(W63+W64)/D10</f>
        <v>15.674612927009091</v>
      </c>
      <c r="E51" s="782" t="s">
        <v>97</v>
      </c>
      <c r="F51" s="769"/>
      <c r="G51" s="763"/>
      <c r="H51" s="775"/>
      <c r="I51" s="759"/>
      <c r="K51" s="790"/>
      <c r="L51" s="790"/>
      <c r="M51" s="790"/>
      <c r="N51" s="790"/>
      <c r="O51" s="790"/>
      <c r="P51" s="790"/>
      <c r="Q51" s="790"/>
      <c r="V51" s="951"/>
      <c r="W51" s="949"/>
      <c r="X51" s="953"/>
      <c r="Y51" s="953"/>
      <c r="Z51" s="953"/>
      <c r="AA51" s="953"/>
      <c r="AB51" s="953"/>
      <c r="AC51" s="953"/>
      <c r="AD51" s="953"/>
      <c r="AE51" s="950"/>
    </row>
    <row r="52" spans="1:31" x14ac:dyDescent="0.2">
      <c r="B52" s="760" t="s">
        <v>91</v>
      </c>
      <c r="C52" s="791"/>
      <c r="D52" s="779">
        <f>(W60+W61)/D10</f>
        <v>0.58779798476284095</v>
      </c>
      <c r="E52" s="788" t="s">
        <v>97</v>
      </c>
      <c r="G52" s="837" t="s">
        <v>279</v>
      </c>
      <c r="H52" s="840">
        <v>3</v>
      </c>
      <c r="I52" s="759"/>
      <c r="K52" s="790"/>
      <c r="L52" s="790"/>
      <c r="M52" s="790"/>
      <c r="N52" s="790"/>
      <c r="O52" s="790"/>
      <c r="P52" s="790"/>
      <c r="Q52" s="790"/>
      <c r="V52" s="951" t="s">
        <v>459</v>
      </c>
      <c r="W52" s="952">
        <f>W50+Y43</f>
        <v>25.92</v>
      </c>
      <c r="X52" s="953" t="s">
        <v>269</v>
      </c>
      <c r="Y52" s="953"/>
      <c r="Z52" s="953"/>
      <c r="AA52" s="953"/>
      <c r="AB52" s="953"/>
      <c r="AC52" s="953"/>
      <c r="AD52" s="953"/>
      <c r="AE52" s="950"/>
    </row>
    <row r="53" spans="1:31" ht="12.75" thickBot="1" x14ac:dyDescent="0.25">
      <c r="G53" s="837" t="str">
        <f>CONCATENATE("(toepassen vanaf ",H52," bouwlagen)")</f>
        <v>(toepassen vanaf 3 bouwlagen)</v>
      </c>
      <c r="H53" s="775"/>
      <c r="I53" s="759"/>
      <c r="K53" s="790"/>
      <c r="L53" s="790"/>
      <c r="M53" s="790"/>
      <c r="N53" s="790"/>
      <c r="O53" s="790"/>
      <c r="P53" s="790"/>
      <c r="Q53" s="790"/>
      <c r="V53" s="951" t="s">
        <v>661</v>
      </c>
      <c r="W53" s="960">
        <v>0.25</v>
      </c>
      <c r="X53" s="953" t="s">
        <v>139</v>
      </c>
      <c r="Y53" s="953"/>
      <c r="Z53" s="953"/>
      <c r="AA53" s="953"/>
      <c r="AB53" s="953"/>
      <c r="AC53" s="953"/>
      <c r="AD53" s="953"/>
      <c r="AE53" s="950"/>
    </row>
    <row r="54" spans="1:31" ht="16.5" thickBot="1" x14ac:dyDescent="0.3">
      <c r="B54" s="49" t="s">
        <v>535</v>
      </c>
      <c r="C54" s="932"/>
      <c r="D54" s="770"/>
      <c r="E54" s="781"/>
      <c r="G54" s="763" t="s">
        <v>1144</v>
      </c>
      <c r="H54" s="775">
        <v>2000</v>
      </c>
      <c r="I54" s="759" t="s">
        <v>130</v>
      </c>
      <c r="K54" s="790"/>
      <c r="L54" s="790"/>
      <c r="M54" s="790"/>
      <c r="N54" s="790"/>
      <c r="O54" s="790"/>
      <c r="P54" s="790"/>
      <c r="Q54" s="790"/>
      <c r="V54" s="951" t="s">
        <v>660</v>
      </c>
      <c r="W54" s="958">
        <f>MROUND(W52/W53,100)</f>
        <v>100</v>
      </c>
      <c r="X54" s="953" t="s">
        <v>130</v>
      </c>
      <c r="Y54" s="953"/>
      <c r="Z54" s="953"/>
      <c r="AA54" s="953"/>
      <c r="AB54" s="953"/>
      <c r="AC54" s="953"/>
      <c r="AD54" s="953"/>
      <c r="AE54" s="950"/>
    </row>
    <row r="55" spans="1:31" x14ac:dyDescent="0.2">
      <c r="B55" s="763" t="s">
        <v>637</v>
      </c>
      <c r="C55" s="769"/>
      <c r="D55" s="773" t="str">
        <f>CONCATENATE(W8,"*",W9)</f>
        <v>500*600</v>
      </c>
      <c r="E55" s="759"/>
      <c r="G55" s="763" t="s">
        <v>1142</v>
      </c>
      <c r="H55" s="775">
        <v>2000</v>
      </c>
      <c r="I55" s="759" t="s">
        <v>130</v>
      </c>
      <c r="K55" s="790"/>
      <c r="L55" s="790"/>
      <c r="M55" s="790"/>
      <c r="N55" s="57"/>
      <c r="O55" s="57"/>
      <c r="P55" s="57"/>
      <c r="Q55" s="57"/>
      <c r="R55" s="57"/>
      <c r="S55" s="57"/>
      <c r="T55" s="57"/>
      <c r="V55" s="951" t="s">
        <v>460</v>
      </c>
      <c r="W55" s="958">
        <f>W54*0.001*0.25+0.25*0.6</f>
        <v>0.17499999999999999</v>
      </c>
      <c r="X55" s="953" t="s">
        <v>81</v>
      </c>
      <c r="Y55" s="953"/>
      <c r="Z55" s="953"/>
      <c r="AA55" s="953"/>
      <c r="AB55" s="953"/>
      <c r="AC55" s="953"/>
      <c r="AD55" s="953"/>
      <c r="AE55" s="950"/>
    </row>
    <row r="56" spans="1:31" x14ac:dyDescent="0.2">
      <c r="B56" s="763" t="s">
        <v>636</v>
      </c>
      <c r="C56" s="769"/>
      <c r="D56" s="773" t="str">
        <f>CONCATENATE(W20,"*",W21)</f>
        <v>400*600</v>
      </c>
      <c r="E56" s="782"/>
      <c r="G56" s="763" t="s">
        <v>1143</v>
      </c>
      <c r="H56" s="775">
        <v>1000</v>
      </c>
      <c r="I56" s="759" t="s">
        <v>130</v>
      </c>
      <c r="K56" s="790"/>
      <c r="L56" s="790"/>
      <c r="M56" s="790"/>
      <c r="N56" s="790"/>
      <c r="O56" s="790"/>
      <c r="P56" s="790"/>
      <c r="Q56" s="790"/>
      <c r="V56" s="951" t="s">
        <v>461</v>
      </c>
      <c r="W56" s="958">
        <f>W23</f>
        <v>368.8</v>
      </c>
      <c r="X56" s="953" t="s">
        <v>17</v>
      </c>
      <c r="Y56" s="961">
        <f>W56*W55</f>
        <v>64.539999999999992</v>
      </c>
      <c r="Z56" s="953" t="s">
        <v>230</v>
      </c>
      <c r="AA56" s="953"/>
      <c r="AB56" s="953"/>
      <c r="AC56" s="953"/>
      <c r="AD56" s="953"/>
      <c r="AE56" s="950"/>
    </row>
    <row r="57" spans="1:31" x14ac:dyDescent="0.2">
      <c r="B57" s="763"/>
      <c r="C57" s="769"/>
      <c r="D57" s="775"/>
      <c r="E57" s="782"/>
      <c r="G57" s="763" t="s">
        <v>1157</v>
      </c>
      <c r="H57" s="196">
        <f>H54/1000*H55/1000*H56/1000</f>
        <v>4</v>
      </c>
      <c r="I57" s="759" t="s">
        <v>230</v>
      </c>
      <c r="V57" s="951" t="s">
        <v>463</v>
      </c>
      <c r="W57" s="958">
        <f>W11</f>
        <v>139.19999999999999</v>
      </c>
      <c r="X57" s="953" t="s">
        <v>17</v>
      </c>
      <c r="Y57" s="961">
        <f>W57*0.5*0.6</f>
        <v>41.76</v>
      </c>
      <c r="Z57" s="953" t="s">
        <v>230</v>
      </c>
      <c r="AA57" s="953"/>
      <c r="AB57" s="953"/>
      <c r="AC57" s="953"/>
      <c r="AD57" s="953"/>
      <c r="AE57" s="950"/>
    </row>
    <row r="58" spans="1:31" x14ac:dyDescent="0.2">
      <c r="B58" s="763" t="s">
        <v>639</v>
      </c>
      <c r="C58" s="769"/>
      <c r="D58" s="191">
        <f>W31</f>
        <v>19.209437208159251</v>
      </c>
      <c r="E58" s="782" t="s">
        <v>97</v>
      </c>
      <c r="G58" s="15" t="s">
        <v>1158</v>
      </c>
      <c r="H58" s="773">
        <f>H57*2400</f>
        <v>9600</v>
      </c>
      <c r="I58" s="759" t="s">
        <v>104</v>
      </c>
      <c r="V58" s="951"/>
      <c r="W58" s="949"/>
      <c r="X58" s="953"/>
      <c r="Y58" s="953"/>
      <c r="Z58" s="953"/>
      <c r="AA58" s="953"/>
      <c r="AB58" s="953"/>
      <c r="AC58" s="953"/>
      <c r="AD58" s="953"/>
      <c r="AE58" s="950"/>
    </row>
    <row r="59" spans="1:31" x14ac:dyDescent="0.2">
      <c r="B59" s="760" t="s">
        <v>640</v>
      </c>
      <c r="C59" s="791"/>
      <c r="D59" s="939">
        <f>W32</f>
        <v>0.72035389530597194</v>
      </c>
      <c r="E59" s="788" t="s">
        <v>97</v>
      </c>
      <c r="G59" s="763"/>
      <c r="H59" s="775"/>
      <c r="I59" s="759"/>
      <c r="V59" s="962" t="s">
        <v>235</v>
      </c>
      <c r="W59" s="963">
        <v>90</v>
      </c>
      <c r="X59" s="964" t="s">
        <v>137</v>
      </c>
      <c r="Y59" s="953"/>
      <c r="Z59" s="953"/>
      <c r="AA59" s="953"/>
      <c r="AB59" s="953"/>
      <c r="AC59" s="953"/>
      <c r="AD59" s="953"/>
      <c r="AE59" s="950"/>
    </row>
    <row r="60" spans="1:31" x14ac:dyDescent="0.2">
      <c r="G60" s="763" t="s">
        <v>1146</v>
      </c>
      <c r="H60" s="773">
        <f>H57*H36</f>
        <v>9600</v>
      </c>
      <c r="I60" s="759" t="s">
        <v>104</v>
      </c>
      <c r="V60" s="951" t="s">
        <v>461</v>
      </c>
      <c r="W60" s="958">
        <f>90*Y56</f>
        <v>5808.5999999999995</v>
      </c>
      <c r="X60" s="950" t="s">
        <v>104</v>
      </c>
      <c r="Y60" s="953"/>
      <c r="Z60" s="953"/>
      <c r="AA60" s="953"/>
      <c r="AB60" s="953"/>
      <c r="AC60" s="953"/>
      <c r="AD60" s="953"/>
      <c r="AE60" s="950"/>
    </row>
    <row r="61" spans="1:31" x14ac:dyDescent="0.2">
      <c r="G61" s="15" t="s">
        <v>1147</v>
      </c>
      <c r="H61" s="773">
        <f>H57*H37</f>
        <v>600</v>
      </c>
      <c r="I61" s="759" t="s">
        <v>104</v>
      </c>
      <c r="V61" s="965" t="s">
        <v>462</v>
      </c>
      <c r="W61" s="966">
        <f>Y57*90</f>
        <v>3758.3999999999996</v>
      </c>
      <c r="X61" s="967" t="s">
        <v>104</v>
      </c>
      <c r="Y61" s="953"/>
      <c r="Z61" s="953"/>
      <c r="AA61" s="953"/>
      <c r="AB61" s="953"/>
      <c r="AC61" s="953"/>
      <c r="AD61" s="953"/>
      <c r="AE61" s="950"/>
    </row>
    <row r="62" spans="1:31" x14ac:dyDescent="0.2">
      <c r="G62" s="763" t="s">
        <v>1161</v>
      </c>
      <c r="H62" s="196">
        <f>(H38*H60)/D10</f>
        <v>26.542147947898748</v>
      </c>
      <c r="I62" s="759" t="s">
        <v>64</v>
      </c>
      <c r="V62" s="962" t="s">
        <v>0</v>
      </c>
      <c r="W62" s="963">
        <v>2400</v>
      </c>
      <c r="X62" s="964" t="s">
        <v>137</v>
      </c>
      <c r="Y62" s="953"/>
      <c r="Z62" s="953"/>
      <c r="AA62" s="953"/>
      <c r="AB62" s="953"/>
      <c r="AC62" s="953"/>
      <c r="AD62" s="953"/>
      <c r="AE62" s="950"/>
    </row>
    <row r="63" spans="1:31" x14ac:dyDescent="0.2">
      <c r="G63" s="760" t="s">
        <v>1162</v>
      </c>
      <c r="H63" s="839">
        <f>(H38*H61)/D10</f>
        <v>1.6588842467436717</v>
      </c>
      <c r="I63" s="761" t="s">
        <v>64</v>
      </c>
      <c r="T63" s="57"/>
      <c r="V63" s="951" t="s">
        <v>461</v>
      </c>
      <c r="W63" s="958">
        <f>Y56*2400</f>
        <v>154895.99999999997</v>
      </c>
      <c r="X63" s="950" t="s">
        <v>104</v>
      </c>
      <c r="Y63" s="953"/>
      <c r="Z63" s="953"/>
      <c r="AA63" s="953"/>
      <c r="AB63" s="953"/>
      <c r="AC63" s="953"/>
      <c r="AD63" s="953"/>
      <c r="AE63" s="950"/>
    </row>
    <row r="64" spans="1:31" x14ac:dyDescent="0.2">
      <c r="V64" s="965" t="s">
        <v>462</v>
      </c>
      <c r="W64" s="966">
        <f>Y57*2400</f>
        <v>100224</v>
      </c>
      <c r="X64" s="967" t="s">
        <v>104</v>
      </c>
      <c r="Y64" s="968"/>
      <c r="Z64" s="968"/>
      <c r="AA64" s="968"/>
      <c r="AB64" s="968"/>
      <c r="AC64" s="968"/>
      <c r="AD64" s="968"/>
      <c r="AE64" s="967"/>
    </row>
  </sheetData>
  <mergeCells count="1">
    <mergeCell ref="J3:T3"/>
  </mergeCells>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showGridLines="0" topLeftCell="A4" workbookViewId="0">
      <selection activeCell="G46" sqref="G46"/>
    </sheetView>
  </sheetViews>
  <sheetFormatPr defaultColWidth="9.33203125" defaultRowHeight="12.75" x14ac:dyDescent="0.2"/>
  <cols>
    <col min="1" max="1" width="9.33203125" style="1087"/>
    <col min="2" max="2" width="39.6640625" style="1087" customWidth="1"/>
    <col min="3" max="3" width="23.6640625" style="1087" customWidth="1"/>
    <col min="4" max="4" width="5.6640625" style="1108" bestFit="1" customWidth="1"/>
    <col min="5" max="5" width="12.5" style="1120" bestFit="1" customWidth="1"/>
    <col min="6" max="8" width="21.6640625" style="1087" customWidth="1"/>
    <col min="9" max="9" width="5.6640625" style="1087" bestFit="1" customWidth="1"/>
    <col min="10" max="10" width="12.5" style="1120" bestFit="1" customWidth="1"/>
    <col min="11" max="12" width="21.6640625" style="1087" customWidth="1"/>
    <col min="13" max="13" width="21.6640625" style="1120" customWidth="1"/>
    <col min="14" max="14" width="5.6640625" style="1108" bestFit="1" customWidth="1"/>
    <col min="15" max="15" width="12.5" style="1120" bestFit="1" customWidth="1"/>
    <col min="16" max="18" width="21.6640625" style="1087" customWidth="1"/>
    <col min="19" max="19" width="5.6640625" style="1108" bestFit="1" customWidth="1"/>
    <col min="20" max="20" width="12.5" style="1120" bestFit="1" customWidth="1"/>
    <col min="21" max="22" width="25" style="1087" customWidth="1"/>
    <col min="23" max="16384" width="9.33203125" style="1087"/>
  </cols>
  <sheetData>
    <row r="1" spans="1:31" ht="30.75" customHeight="1" x14ac:dyDescent="0.2">
      <c r="A1" s="685"/>
      <c r="B1" s="1089" t="s">
        <v>429</v>
      </c>
      <c r="C1" s="713"/>
      <c r="D1" s="1109"/>
      <c r="E1" s="1113"/>
      <c r="F1" s="713"/>
      <c r="G1" s="713"/>
      <c r="H1" s="713"/>
      <c r="I1" s="713"/>
      <c r="J1" s="1113"/>
      <c r="K1" s="713"/>
      <c r="L1" s="713"/>
      <c r="M1" s="1113"/>
      <c r="N1" s="1109"/>
      <c r="O1" s="1113"/>
      <c r="P1" s="713"/>
      <c r="Q1" s="713"/>
      <c r="R1" s="713"/>
      <c r="S1" s="1109"/>
      <c r="T1" s="1113"/>
      <c r="U1" s="713"/>
      <c r="V1" s="714"/>
    </row>
    <row r="2" spans="1:31" ht="18" customHeight="1" x14ac:dyDescent="0.2">
      <c r="A2" s="684"/>
      <c r="B2" s="1090"/>
      <c r="C2" s="715"/>
      <c r="D2" s="1110"/>
      <c r="E2" s="1114"/>
      <c r="F2" s="715"/>
      <c r="G2" s="715"/>
      <c r="H2" s="715"/>
      <c r="I2" s="715"/>
      <c r="J2" s="1114"/>
      <c r="K2" s="715"/>
      <c r="L2" s="715"/>
      <c r="M2" s="1114"/>
      <c r="N2" s="1110"/>
      <c r="O2" s="1114"/>
      <c r="P2" s="715"/>
      <c r="Q2" s="715"/>
      <c r="R2" s="715"/>
      <c r="S2" s="1110"/>
      <c r="T2" s="1114"/>
      <c r="U2" s="715"/>
      <c r="V2" s="716"/>
    </row>
    <row r="3" spans="1:31" x14ac:dyDescent="0.2">
      <c r="A3" s="1095"/>
      <c r="B3" s="1099" t="s">
        <v>762</v>
      </c>
      <c r="C3" s="1100"/>
      <c r="D3" s="1111"/>
      <c r="E3" s="1115"/>
      <c r="F3" s="1100"/>
      <c r="G3" s="1100"/>
      <c r="H3" s="1100"/>
      <c r="I3" s="1100"/>
      <c r="J3" s="1115"/>
      <c r="K3" s="1100"/>
      <c r="L3" s="1100"/>
      <c r="M3" s="1115"/>
      <c r="N3" s="1111"/>
      <c r="O3" s="1115"/>
      <c r="P3" s="1100"/>
      <c r="Q3" s="1100"/>
      <c r="R3" s="1100"/>
      <c r="S3" s="1111"/>
      <c r="T3" s="1115"/>
      <c r="U3" s="1100"/>
      <c r="V3" s="1101"/>
    </row>
    <row r="4" spans="1:31" x14ac:dyDescent="0.2">
      <c r="A4" s="1095"/>
      <c r="B4" s="493"/>
      <c r="C4" s="1105"/>
      <c r="D4" s="405"/>
      <c r="E4" s="1116"/>
      <c r="F4" s="1105"/>
      <c r="G4" s="1105"/>
      <c r="H4" s="1105"/>
      <c r="I4" s="1105"/>
      <c r="J4" s="1116"/>
      <c r="K4" s="1105"/>
      <c r="L4" s="1105"/>
      <c r="M4" s="1116"/>
      <c r="N4" s="405"/>
      <c r="O4" s="1116"/>
      <c r="P4" s="1105"/>
      <c r="Q4" s="1105"/>
      <c r="R4" s="1105"/>
      <c r="S4" s="405"/>
      <c r="T4" s="1116"/>
      <c r="U4" s="1105"/>
      <c r="V4" s="1105"/>
    </row>
    <row r="5" spans="1:31" s="1125" customFormat="1" ht="42" customHeight="1" thickBot="1" x14ac:dyDescent="0.25">
      <c r="A5" s="1121"/>
      <c r="B5" s="1122" t="s">
        <v>721</v>
      </c>
      <c r="C5" s="1123" t="s">
        <v>764</v>
      </c>
      <c r="D5" s="1123" t="s">
        <v>765</v>
      </c>
      <c r="E5" s="1123"/>
      <c r="F5" s="1126" t="s">
        <v>722</v>
      </c>
      <c r="G5" s="1126" t="s">
        <v>723</v>
      </c>
      <c r="H5" s="1126" t="s">
        <v>763</v>
      </c>
      <c r="I5" s="1126" t="s">
        <v>765</v>
      </c>
      <c r="J5" s="1126"/>
      <c r="K5" s="1127" t="s">
        <v>724</v>
      </c>
      <c r="L5" s="1127" t="s">
        <v>725</v>
      </c>
      <c r="M5" s="1127" t="s">
        <v>763</v>
      </c>
      <c r="N5" s="1127" t="s">
        <v>765</v>
      </c>
      <c r="O5" s="1127"/>
      <c r="P5" s="1128" t="s">
        <v>726</v>
      </c>
      <c r="Q5" s="1128" t="s">
        <v>727</v>
      </c>
      <c r="R5" s="1128" t="s">
        <v>763</v>
      </c>
      <c r="S5" s="1128" t="s">
        <v>765</v>
      </c>
      <c r="T5" s="1128"/>
      <c r="U5" s="1129" t="s">
        <v>728</v>
      </c>
      <c r="V5" s="1129" t="s">
        <v>729</v>
      </c>
      <c r="W5" s="1124"/>
      <c r="X5" s="1124"/>
      <c r="Y5" s="1124"/>
      <c r="Z5" s="1124"/>
      <c r="AA5" s="1124"/>
      <c r="AB5" s="1124"/>
      <c r="AC5" s="1124"/>
      <c r="AD5" s="1124"/>
      <c r="AE5" s="1124"/>
    </row>
    <row r="6" spans="1:31" ht="13.5" thickBot="1" x14ac:dyDescent="0.25">
      <c r="A6" s="1098"/>
      <c r="B6" s="1102" t="s">
        <v>754</v>
      </c>
      <c r="C6" s="1103"/>
      <c r="D6" s="1106"/>
      <c r="E6" s="1117"/>
      <c r="F6" s="1103"/>
      <c r="G6" s="1103"/>
      <c r="H6" s="1103"/>
      <c r="I6" s="1103"/>
      <c r="J6" s="1117"/>
      <c r="K6" s="1103"/>
      <c r="L6" s="1103"/>
      <c r="M6" s="1117"/>
      <c r="N6" s="1106"/>
      <c r="O6" s="1117"/>
      <c r="P6" s="1103"/>
      <c r="Q6" s="1103"/>
      <c r="R6" s="1103"/>
      <c r="S6" s="1106"/>
      <c r="T6" s="1117"/>
      <c r="U6" s="1103"/>
      <c r="V6" s="1104"/>
      <c r="W6" s="1091"/>
      <c r="X6" s="1091"/>
      <c r="Y6" s="1091"/>
      <c r="Z6" s="1091"/>
      <c r="AA6" s="1091"/>
      <c r="AB6" s="1091"/>
      <c r="AC6" s="1091"/>
      <c r="AD6" s="1091"/>
      <c r="AE6" s="1091"/>
    </row>
    <row r="7" spans="1:31" x14ac:dyDescent="0.2">
      <c r="A7" s="1096"/>
      <c r="B7" s="1092" t="s">
        <v>730</v>
      </c>
      <c r="C7" s="1092"/>
      <c r="D7" s="1093">
        <v>2</v>
      </c>
      <c r="E7" s="1159" t="s">
        <v>826</v>
      </c>
      <c r="F7" s="1092" t="s">
        <v>0</v>
      </c>
      <c r="G7" s="1092" t="s">
        <v>731</v>
      </c>
      <c r="H7" s="1092"/>
      <c r="I7" s="1093"/>
      <c r="J7" s="1159" t="s">
        <v>826</v>
      </c>
      <c r="K7" s="1092" t="s">
        <v>2</v>
      </c>
      <c r="L7" s="1092" t="s">
        <v>91</v>
      </c>
      <c r="M7" s="1118"/>
      <c r="N7" s="1093"/>
      <c r="O7" s="1159" t="s">
        <v>826</v>
      </c>
      <c r="P7" s="1092" t="s">
        <v>2</v>
      </c>
      <c r="Q7" s="1092" t="s">
        <v>732</v>
      </c>
      <c r="R7" s="1092"/>
      <c r="S7" s="1093"/>
      <c r="T7" s="1159" t="s">
        <v>826</v>
      </c>
      <c r="U7" s="1160" t="s">
        <v>827</v>
      </c>
      <c r="V7" s="1131" t="s">
        <v>733</v>
      </c>
      <c r="W7" s="1091"/>
      <c r="X7" s="1091"/>
      <c r="Y7" s="1091"/>
      <c r="Z7" s="1091"/>
      <c r="AA7" s="1091"/>
      <c r="AB7" s="1091"/>
      <c r="AC7" s="1091"/>
      <c r="AD7" s="1091"/>
      <c r="AE7" s="1091"/>
    </row>
    <row r="8" spans="1:31" ht="13.5" thickBot="1" x14ac:dyDescent="0.25">
      <c r="A8" s="1096"/>
      <c r="B8" s="1092" t="s">
        <v>734</v>
      </c>
      <c r="C8" s="1092"/>
      <c r="D8" s="1093">
        <v>4</v>
      </c>
      <c r="E8" s="1159" t="s">
        <v>826</v>
      </c>
      <c r="F8" s="1092" t="s">
        <v>0</v>
      </c>
      <c r="G8" s="1092" t="s">
        <v>735</v>
      </c>
      <c r="H8" s="1092"/>
      <c r="I8" s="1093"/>
      <c r="J8" s="1159" t="s">
        <v>826</v>
      </c>
      <c r="K8" s="1092" t="s">
        <v>2</v>
      </c>
      <c r="L8" s="1092" t="s">
        <v>91</v>
      </c>
      <c r="M8" s="1118"/>
      <c r="N8" s="1093"/>
      <c r="O8" s="1159" t="s">
        <v>826</v>
      </c>
      <c r="P8" s="1092" t="s">
        <v>2</v>
      </c>
      <c r="Q8" s="1092" t="s">
        <v>732</v>
      </c>
      <c r="R8" s="1092"/>
      <c r="S8" s="1093"/>
      <c r="T8" s="1159" t="s">
        <v>826</v>
      </c>
      <c r="U8" s="1160" t="s">
        <v>827</v>
      </c>
      <c r="V8" s="1131" t="s">
        <v>733</v>
      </c>
      <c r="W8" s="1091"/>
      <c r="X8" s="1091"/>
      <c r="Y8" s="1091"/>
      <c r="Z8" s="1091"/>
      <c r="AA8" s="1091"/>
      <c r="AB8" s="1091"/>
      <c r="AC8" s="1091"/>
      <c r="AD8" s="1091"/>
      <c r="AE8" s="1091"/>
    </row>
    <row r="9" spans="1:31" ht="13.5" thickBot="1" x14ac:dyDescent="0.25">
      <c r="A9" s="1098"/>
      <c r="B9" s="1102" t="s">
        <v>535</v>
      </c>
      <c r="C9" s="1103"/>
      <c r="D9" s="1106"/>
      <c r="E9" s="1117"/>
      <c r="F9" s="1103"/>
      <c r="G9" s="1103"/>
      <c r="H9" s="1103"/>
      <c r="I9" s="1106"/>
      <c r="J9" s="1117"/>
      <c r="K9" s="1103"/>
      <c r="L9" s="1103"/>
      <c r="M9" s="1117"/>
      <c r="N9" s="1106"/>
      <c r="O9" s="1117"/>
      <c r="P9" s="1103"/>
      <c r="Q9" s="1103"/>
      <c r="R9" s="1103"/>
      <c r="S9" s="1106"/>
      <c r="T9" s="1117"/>
      <c r="U9" s="1103"/>
      <c r="V9" s="1104"/>
      <c r="W9" s="1091"/>
      <c r="X9" s="1091"/>
      <c r="Y9" s="1091"/>
      <c r="Z9" s="1091"/>
      <c r="AA9" s="1091"/>
      <c r="AB9" s="1091"/>
      <c r="AC9" s="1091"/>
      <c r="AD9" s="1091"/>
      <c r="AE9" s="1091"/>
    </row>
    <row r="10" spans="1:31" x14ac:dyDescent="0.2">
      <c r="A10" s="1096"/>
      <c r="B10" s="1088" t="s">
        <v>736</v>
      </c>
      <c r="C10" s="1088"/>
      <c r="D10" s="1107"/>
      <c r="E10" s="1094" t="s">
        <v>826</v>
      </c>
      <c r="F10" s="1092"/>
      <c r="G10" s="1092"/>
      <c r="H10" s="1092"/>
      <c r="I10" s="1093"/>
      <c r="J10" s="1094" t="s">
        <v>826</v>
      </c>
      <c r="K10" s="1092"/>
      <c r="L10" s="1092"/>
      <c r="M10" s="1118"/>
      <c r="N10" s="1093"/>
      <c r="O10" s="1094" t="s">
        <v>826</v>
      </c>
      <c r="P10" s="1092"/>
      <c r="Q10" s="1092"/>
      <c r="R10" s="1092"/>
      <c r="S10" s="1093"/>
      <c r="T10" s="1094" t="s">
        <v>826</v>
      </c>
      <c r="U10" s="1130"/>
      <c r="V10" s="1130"/>
      <c r="W10" s="1091"/>
      <c r="X10" s="1091"/>
      <c r="Y10" s="1091"/>
      <c r="Z10" s="1091"/>
      <c r="AA10" s="1091"/>
      <c r="AB10" s="1091"/>
      <c r="AC10" s="1091"/>
      <c r="AD10" s="1091"/>
      <c r="AE10" s="1091"/>
    </row>
    <row r="11" spans="1:31" x14ac:dyDescent="0.2">
      <c r="A11" s="1096"/>
      <c r="B11" s="1088" t="s">
        <v>737</v>
      </c>
      <c r="C11" s="1088"/>
      <c r="D11" s="1107"/>
      <c r="E11" s="1094" t="s">
        <v>826</v>
      </c>
      <c r="F11" s="1092"/>
      <c r="G11" s="1092"/>
      <c r="H11" s="1092"/>
      <c r="I11" s="1093"/>
      <c r="J11" s="1094" t="s">
        <v>826</v>
      </c>
      <c r="K11" s="1092"/>
      <c r="L11" s="1092"/>
      <c r="M11" s="1118"/>
      <c r="N11" s="1093"/>
      <c r="O11" s="1094" t="s">
        <v>826</v>
      </c>
      <c r="P11" s="1092"/>
      <c r="Q11" s="1092"/>
      <c r="R11" s="1092"/>
      <c r="S11" s="1093"/>
      <c r="T11" s="1094" t="s">
        <v>826</v>
      </c>
      <c r="U11" s="1130"/>
      <c r="V11" s="1130"/>
      <c r="W11" s="1091"/>
      <c r="X11" s="1091"/>
      <c r="Y11" s="1091"/>
      <c r="Z11" s="1091"/>
      <c r="AA11" s="1091"/>
      <c r="AB11" s="1091"/>
      <c r="AC11" s="1091"/>
      <c r="AD11" s="1091"/>
      <c r="AE11" s="1091"/>
    </row>
    <row r="12" spans="1:31" x14ac:dyDescent="0.2">
      <c r="A12" s="1096"/>
      <c r="B12" s="1092" t="s">
        <v>761</v>
      </c>
      <c r="C12" s="1092"/>
      <c r="D12" s="1093"/>
      <c r="E12" s="1094" t="s">
        <v>826</v>
      </c>
      <c r="F12" s="1092"/>
      <c r="G12" s="1092"/>
      <c r="H12" s="1092"/>
      <c r="I12" s="1093"/>
      <c r="J12" s="1094" t="s">
        <v>826</v>
      </c>
      <c r="K12" s="1092"/>
      <c r="L12" s="1092"/>
      <c r="M12" s="1118"/>
      <c r="N12" s="1093"/>
      <c r="O12" s="1094" t="s">
        <v>826</v>
      </c>
      <c r="P12" s="1092"/>
      <c r="Q12" s="1092"/>
      <c r="R12" s="1092"/>
      <c r="S12" s="1093"/>
      <c r="T12" s="1094" t="s">
        <v>826</v>
      </c>
      <c r="U12" s="1130"/>
      <c r="V12" s="1130"/>
      <c r="W12" s="1091"/>
      <c r="X12" s="1091"/>
      <c r="Y12" s="1091"/>
      <c r="Z12" s="1091"/>
      <c r="AA12" s="1091"/>
      <c r="AB12" s="1091"/>
      <c r="AC12" s="1091"/>
      <c r="AD12" s="1091"/>
      <c r="AE12" s="1091"/>
    </row>
    <row r="13" spans="1:31" x14ac:dyDescent="0.2">
      <c r="A13" s="1096"/>
      <c r="B13" s="1092"/>
      <c r="C13" s="1092"/>
      <c r="D13" s="1093"/>
      <c r="E13" s="1094" t="s">
        <v>826</v>
      </c>
      <c r="F13" s="1092"/>
      <c r="G13" s="1092"/>
      <c r="H13" s="1092"/>
      <c r="I13" s="1093"/>
      <c r="J13" s="1094" t="s">
        <v>826</v>
      </c>
      <c r="K13" s="1092"/>
      <c r="L13" s="1092"/>
      <c r="M13" s="1118"/>
      <c r="N13" s="1093"/>
      <c r="O13" s="1094" t="s">
        <v>826</v>
      </c>
      <c r="P13" s="1092"/>
      <c r="Q13" s="1092"/>
      <c r="R13" s="1092"/>
      <c r="S13" s="1093"/>
      <c r="T13" s="1094" t="s">
        <v>826</v>
      </c>
      <c r="U13" s="1130"/>
      <c r="V13" s="1130"/>
      <c r="W13" s="1091"/>
      <c r="X13" s="1091"/>
      <c r="Y13" s="1091"/>
      <c r="Z13" s="1091"/>
      <c r="AA13" s="1091"/>
      <c r="AB13" s="1091"/>
      <c r="AC13" s="1091"/>
      <c r="AD13" s="1091"/>
      <c r="AE13" s="1091"/>
    </row>
    <row r="14" spans="1:31" x14ac:dyDescent="0.2">
      <c r="A14" s="1096"/>
      <c r="B14" s="1092"/>
      <c r="C14" s="1092"/>
      <c r="D14" s="1093"/>
      <c r="E14" s="1094" t="s">
        <v>826</v>
      </c>
      <c r="F14" s="1092"/>
      <c r="G14" s="1092"/>
      <c r="H14" s="1092"/>
      <c r="I14" s="1093"/>
      <c r="J14" s="1094" t="s">
        <v>826</v>
      </c>
      <c r="K14" s="1092"/>
      <c r="L14" s="1092"/>
      <c r="M14" s="1118"/>
      <c r="N14" s="1093"/>
      <c r="O14" s="1094" t="s">
        <v>826</v>
      </c>
      <c r="P14" s="1092"/>
      <c r="Q14" s="1092"/>
      <c r="R14" s="1092"/>
      <c r="S14" s="1093"/>
      <c r="T14" s="1094" t="s">
        <v>826</v>
      </c>
      <c r="U14" s="1130"/>
      <c r="V14" s="1130"/>
      <c r="W14" s="1091"/>
      <c r="X14" s="1091"/>
      <c r="Y14" s="1091"/>
      <c r="Z14" s="1091"/>
      <c r="AA14" s="1091"/>
      <c r="AB14" s="1091"/>
      <c r="AC14" s="1091"/>
      <c r="AD14" s="1091"/>
      <c r="AE14" s="1091"/>
    </row>
    <row r="15" spans="1:31" x14ac:dyDescent="0.2">
      <c r="A15" s="1096"/>
      <c r="B15" s="1092"/>
      <c r="C15" s="1092"/>
      <c r="D15" s="1093"/>
      <c r="E15" s="1094" t="s">
        <v>826</v>
      </c>
      <c r="F15" s="1092"/>
      <c r="G15" s="1092"/>
      <c r="H15" s="1092"/>
      <c r="I15" s="1093"/>
      <c r="J15" s="1094" t="s">
        <v>826</v>
      </c>
      <c r="K15" s="1092"/>
      <c r="L15" s="1092"/>
      <c r="M15" s="1118"/>
      <c r="N15" s="1093"/>
      <c r="O15" s="1094" t="s">
        <v>826</v>
      </c>
      <c r="P15" s="1092"/>
      <c r="Q15" s="1092"/>
      <c r="R15" s="1092"/>
      <c r="S15" s="1093"/>
      <c r="T15" s="1094" t="s">
        <v>826</v>
      </c>
      <c r="U15" s="1130"/>
      <c r="V15" s="1130"/>
      <c r="W15" s="1091"/>
      <c r="X15" s="1091"/>
      <c r="Y15" s="1091"/>
      <c r="Z15" s="1091"/>
      <c r="AA15" s="1091"/>
      <c r="AB15" s="1091"/>
      <c r="AC15" s="1091"/>
      <c r="AD15" s="1091"/>
      <c r="AE15" s="1091"/>
    </row>
    <row r="16" spans="1:31" ht="13.5" thickBot="1" x14ac:dyDescent="0.25">
      <c r="A16" s="1096"/>
      <c r="B16" s="1092"/>
      <c r="C16" s="1092"/>
      <c r="D16" s="1093"/>
      <c r="E16" s="1094" t="s">
        <v>826</v>
      </c>
      <c r="F16" s="1092"/>
      <c r="G16" s="1092"/>
      <c r="H16" s="1092"/>
      <c r="I16" s="1093"/>
      <c r="J16" s="1094" t="s">
        <v>826</v>
      </c>
      <c r="K16" s="1092"/>
      <c r="L16" s="1092"/>
      <c r="M16" s="1118"/>
      <c r="N16" s="1093"/>
      <c r="O16" s="1094" t="s">
        <v>826</v>
      </c>
      <c r="P16" s="1092"/>
      <c r="Q16" s="1092"/>
      <c r="R16" s="1092"/>
      <c r="S16" s="1093"/>
      <c r="T16" s="1094" t="s">
        <v>826</v>
      </c>
      <c r="U16" s="1130"/>
      <c r="V16" s="1130"/>
      <c r="W16" s="1091"/>
      <c r="X16" s="1091"/>
      <c r="Y16" s="1091"/>
      <c r="Z16" s="1091"/>
      <c r="AA16" s="1091"/>
      <c r="AB16" s="1091"/>
      <c r="AC16" s="1091"/>
      <c r="AD16" s="1091"/>
      <c r="AE16" s="1091"/>
    </row>
    <row r="17" spans="1:31" ht="13.5" thickBot="1" x14ac:dyDescent="0.25">
      <c r="A17" s="1098"/>
      <c r="B17" s="1102" t="s">
        <v>755</v>
      </c>
      <c r="C17" s="1103"/>
      <c r="D17" s="1106"/>
      <c r="E17" s="1117"/>
      <c r="F17" s="1103"/>
      <c r="G17" s="1103"/>
      <c r="H17" s="1103"/>
      <c r="I17" s="1106"/>
      <c r="J17" s="1117"/>
      <c r="K17" s="1103"/>
      <c r="L17" s="1103"/>
      <c r="M17" s="1117"/>
      <c r="N17" s="1106"/>
      <c r="O17" s="1117"/>
      <c r="P17" s="1103"/>
      <c r="Q17" s="1103"/>
      <c r="R17" s="1103"/>
      <c r="S17" s="1106"/>
      <c r="T17" s="1117"/>
      <c r="U17" s="1103"/>
      <c r="V17" s="1104"/>
      <c r="W17" s="1091"/>
      <c r="X17" s="1091"/>
      <c r="Y17" s="1091"/>
      <c r="Z17" s="1091"/>
      <c r="AA17" s="1091"/>
      <c r="AB17" s="1091"/>
      <c r="AC17" s="1091"/>
      <c r="AD17" s="1091"/>
      <c r="AE17" s="1091"/>
    </row>
    <row r="18" spans="1:31" x14ac:dyDescent="0.2">
      <c r="A18" s="1096"/>
      <c r="B18" s="1088" t="s">
        <v>42</v>
      </c>
      <c r="C18" s="1088"/>
      <c r="D18" s="1107"/>
      <c r="E18" s="1094" t="s">
        <v>826</v>
      </c>
      <c r="F18" s="1092"/>
      <c r="G18" s="1092"/>
      <c r="H18" s="1092"/>
      <c r="I18" s="1093"/>
      <c r="J18" s="1094" t="s">
        <v>826</v>
      </c>
      <c r="K18" s="1092"/>
      <c r="L18" s="1092"/>
      <c r="M18" s="1118"/>
      <c r="N18" s="1093"/>
      <c r="O18" s="1094" t="s">
        <v>826</v>
      </c>
      <c r="P18" s="1092"/>
      <c r="Q18" s="1092"/>
      <c r="R18" s="1092"/>
      <c r="S18" s="1093"/>
      <c r="T18" s="1094" t="s">
        <v>826</v>
      </c>
      <c r="U18" s="1130" t="s">
        <v>738</v>
      </c>
      <c r="V18" s="1130" t="s">
        <v>739</v>
      </c>
      <c r="W18" s="1091"/>
      <c r="X18" s="1091"/>
      <c r="Y18" s="1091"/>
      <c r="Z18" s="1091"/>
      <c r="AA18" s="1091"/>
      <c r="AB18" s="1091"/>
      <c r="AC18" s="1091"/>
      <c r="AD18" s="1091"/>
      <c r="AE18" s="1091"/>
    </row>
    <row r="19" spans="1:31" x14ac:dyDescent="0.2">
      <c r="A19" s="1096"/>
      <c r="B19" s="1088" t="s">
        <v>618</v>
      </c>
      <c r="C19" s="1088"/>
      <c r="D19" s="1107"/>
      <c r="E19" s="1094" t="s">
        <v>826</v>
      </c>
      <c r="F19" s="1092" t="s">
        <v>0</v>
      </c>
      <c r="G19" s="1092" t="s">
        <v>740</v>
      </c>
      <c r="H19" s="1092"/>
      <c r="I19" s="1093"/>
      <c r="J19" s="1094" t="s">
        <v>826</v>
      </c>
      <c r="K19" s="1092" t="s">
        <v>2</v>
      </c>
      <c r="L19" s="1092" t="s">
        <v>91</v>
      </c>
      <c r="M19" s="1118"/>
      <c r="N19" s="1093"/>
      <c r="O19" s="1094" t="s">
        <v>826</v>
      </c>
      <c r="P19" s="1092"/>
      <c r="Q19" s="1092"/>
      <c r="R19" s="1092"/>
      <c r="S19" s="1093"/>
      <c r="T19" s="1094" t="s">
        <v>826</v>
      </c>
      <c r="U19" s="1130" t="s">
        <v>741</v>
      </c>
      <c r="V19" s="1130"/>
      <c r="W19" s="1091"/>
      <c r="X19" s="1091"/>
      <c r="Y19" s="1091"/>
      <c r="Z19" s="1091"/>
      <c r="AA19" s="1091"/>
      <c r="AB19" s="1091"/>
      <c r="AC19" s="1091"/>
      <c r="AD19" s="1091"/>
      <c r="AE19" s="1091"/>
    </row>
    <row r="20" spans="1:31" x14ac:dyDescent="0.2">
      <c r="A20" s="1096"/>
      <c r="B20" s="1092"/>
      <c r="E20" s="1094" t="s">
        <v>826</v>
      </c>
      <c r="F20" s="1092"/>
      <c r="G20" s="1092"/>
      <c r="H20" s="1092"/>
      <c r="I20" s="1093"/>
      <c r="J20" s="1094" t="s">
        <v>826</v>
      </c>
      <c r="K20" s="1092"/>
      <c r="L20" s="1092"/>
      <c r="M20" s="1118"/>
      <c r="N20" s="1093"/>
      <c r="O20" s="1094" t="s">
        <v>826</v>
      </c>
      <c r="P20" s="1092"/>
      <c r="Q20" s="1092"/>
      <c r="R20" s="1092"/>
      <c r="S20" s="1093"/>
      <c r="T20" s="1094" t="s">
        <v>826</v>
      </c>
      <c r="U20" s="1130"/>
      <c r="V20" s="1130"/>
      <c r="W20" s="1091"/>
      <c r="X20" s="1091"/>
      <c r="Y20" s="1091"/>
      <c r="Z20" s="1091"/>
      <c r="AA20" s="1091"/>
      <c r="AB20" s="1091"/>
      <c r="AC20" s="1091"/>
      <c r="AD20" s="1091"/>
      <c r="AE20" s="1091"/>
    </row>
    <row r="21" spans="1:31" x14ac:dyDescent="0.2">
      <c r="A21" s="1096"/>
      <c r="B21" s="1092"/>
      <c r="C21" s="1092"/>
      <c r="D21" s="1093"/>
      <c r="E21" s="1094" t="s">
        <v>826</v>
      </c>
      <c r="F21" s="1092"/>
      <c r="G21" s="1092"/>
      <c r="H21" s="1092"/>
      <c r="I21" s="1093"/>
      <c r="J21" s="1094" t="s">
        <v>826</v>
      </c>
      <c r="K21" s="1092"/>
      <c r="L21" s="1092"/>
      <c r="M21" s="1118"/>
      <c r="N21" s="1093"/>
      <c r="O21" s="1094" t="s">
        <v>826</v>
      </c>
      <c r="P21" s="1092"/>
      <c r="Q21" s="1092"/>
      <c r="R21" s="1092"/>
      <c r="S21" s="1093"/>
      <c r="T21" s="1094" t="s">
        <v>826</v>
      </c>
      <c r="U21" s="1130"/>
      <c r="V21" s="1130"/>
      <c r="W21" s="1091"/>
      <c r="X21" s="1091"/>
      <c r="Y21" s="1091"/>
      <c r="Z21" s="1091"/>
      <c r="AA21" s="1091"/>
      <c r="AB21" s="1091"/>
      <c r="AC21" s="1091"/>
      <c r="AD21" s="1091"/>
      <c r="AE21" s="1091"/>
    </row>
    <row r="22" spans="1:31" x14ac:dyDescent="0.2">
      <c r="A22" s="1096"/>
      <c r="B22" s="1092"/>
      <c r="C22" s="1092"/>
      <c r="D22" s="1093"/>
      <c r="E22" s="1094" t="s">
        <v>826</v>
      </c>
      <c r="F22" s="1092"/>
      <c r="G22" s="1092"/>
      <c r="H22" s="1092"/>
      <c r="I22" s="1093"/>
      <c r="J22" s="1094" t="s">
        <v>826</v>
      </c>
      <c r="K22" s="1092"/>
      <c r="L22" s="1092"/>
      <c r="M22" s="1118"/>
      <c r="N22" s="1093"/>
      <c r="O22" s="1094" t="s">
        <v>826</v>
      </c>
      <c r="P22" s="1092"/>
      <c r="Q22" s="1092"/>
      <c r="R22" s="1092"/>
      <c r="S22" s="1093"/>
      <c r="T22" s="1094" t="s">
        <v>826</v>
      </c>
      <c r="U22" s="1130"/>
      <c r="V22" s="1130"/>
      <c r="W22" s="1091"/>
      <c r="X22" s="1091"/>
      <c r="Y22" s="1091"/>
      <c r="Z22" s="1091"/>
      <c r="AA22" s="1091"/>
      <c r="AB22" s="1091"/>
      <c r="AC22" s="1091"/>
      <c r="AD22" s="1091"/>
      <c r="AE22" s="1091"/>
    </row>
    <row r="23" spans="1:31" ht="13.5" thickBot="1" x14ac:dyDescent="0.25">
      <c r="A23" s="1096"/>
      <c r="B23" s="1092"/>
      <c r="C23" s="1092"/>
      <c r="D23" s="1093"/>
      <c r="E23" s="1094" t="s">
        <v>826</v>
      </c>
      <c r="F23" s="1092"/>
      <c r="G23" s="1092"/>
      <c r="H23" s="1092"/>
      <c r="I23" s="1093"/>
      <c r="J23" s="1094" t="s">
        <v>826</v>
      </c>
      <c r="K23" s="1092"/>
      <c r="L23" s="1092"/>
      <c r="M23" s="1118"/>
      <c r="N23" s="1093"/>
      <c r="O23" s="1094" t="s">
        <v>826</v>
      </c>
      <c r="P23" s="1092"/>
      <c r="Q23" s="1092"/>
      <c r="R23" s="1092"/>
      <c r="S23" s="1093"/>
      <c r="T23" s="1094" t="s">
        <v>826</v>
      </c>
      <c r="U23" s="1130"/>
      <c r="V23" s="1130"/>
      <c r="W23" s="1091"/>
      <c r="X23" s="1091"/>
      <c r="Y23" s="1091"/>
      <c r="Z23" s="1091"/>
      <c r="AA23" s="1091"/>
      <c r="AB23" s="1091"/>
      <c r="AC23" s="1091"/>
      <c r="AD23" s="1091"/>
      <c r="AE23" s="1091"/>
    </row>
    <row r="24" spans="1:31" ht="13.5" thickBot="1" x14ac:dyDescent="0.25">
      <c r="A24" s="1098"/>
      <c r="B24" s="1102" t="s">
        <v>757</v>
      </c>
      <c r="C24" s="1103"/>
      <c r="D24" s="1106"/>
      <c r="E24" s="1117"/>
      <c r="F24" s="1103"/>
      <c r="G24" s="1103"/>
      <c r="H24" s="1103"/>
      <c r="I24" s="1106"/>
      <c r="J24" s="1117"/>
      <c r="K24" s="1103"/>
      <c r="L24" s="1103"/>
      <c r="M24" s="1117"/>
      <c r="N24" s="1106"/>
      <c r="O24" s="1117"/>
      <c r="P24" s="1103"/>
      <c r="Q24" s="1103"/>
      <c r="R24" s="1103"/>
      <c r="S24" s="1106"/>
      <c r="T24" s="1117"/>
      <c r="U24" s="1103"/>
      <c r="V24" s="1104"/>
      <c r="W24" s="1091"/>
      <c r="X24" s="1091"/>
      <c r="Y24" s="1091"/>
      <c r="Z24" s="1091"/>
      <c r="AA24" s="1091"/>
      <c r="AB24" s="1091"/>
      <c r="AC24" s="1091"/>
      <c r="AD24" s="1091"/>
      <c r="AE24" s="1091"/>
    </row>
    <row r="25" spans="1:31" x14ac:dyDescent="0.2">
      <c r="A25" s="1096"/>
      <c r="B25" s="1088" t="s">
        <v>42</v>
      </c>
      <c r="C25" s="1088"/>
      <c r="D25" s="1107"/>
      <c r="E25" s="1094" t="s">
        <v>81</v>
      </c>
      <c r="F25" s="1092"/>
      <c r="G25" s="1092"/>
      <c r="H25" s="1092"/>
      <c r="I25" s="1093"/>
      <c r="J25" s="1094" t="s">
        <v>81</v>
      </c>
      <c r="K25" s="1092"/>
      <c r="L25" s="1092"/>
      <c r="M25" s="1118"/>
      <c r="N25" s="1093"/>
      <c r="O25" s="1094" t="s">
        <v>81</v>
      </c>
      <c r="P25" s="1092"/>
      <c r="Q25" s="1092"/>
      <c r="R25" s="1092"/>
      <c r="S25" s="1093"/>
      <c r="T25" s="1094" t="s">
        <v>81</v>
      </c>
      <c r="U25" s="1130" t="s">
        <v>738</v>
      </c>
      <c r="V25" s="1130" t="s">
        <v>739</v>
      </c>
      <c r="W25" s="1091"/>
      <c r="X25" s="1091"/>
      <c r="Y25" s="1091"/>
      <c r="Z25" s="1091"/>
      <c r="AA25" s="1091"/>
      <c r="AB25" s="1091"/>
      <c r="AC25" s="1091"/>
      <c r="AD25" s="1091"/>
      <c r="AE25" s="1091"/>
    </row>
    <row r="26" spans="1:31" x14ac:dyDescent="0.2">
      <c r="A26" s="1096"/>
      <c r="B26" s="1088" t="s">
        <v>618</v>
      </c>
      <c r="C26" s="1088"/>
      <c r="D26" s="1107"/>
      <c r="E26" s="1094" t="s">
        <v>81</v>
      </c>
      <c r="F26" s="1092" t="s">
        <v>0</v>
      </c>
      <c r="G26" s="1092" t="s">
        <v>740</v>
      </c>
      <c r="H26" s="1092"/>
      <c r="I26" s="1093"/>
      <c r="J26" s="1094" t="s">
        <v>81</v>
      </c>
      <c r="K26" s="1092" t="s">
        <v>2</v>
      </c>
      <c r="L26" s="1092" t="s">
        <v>91</v>
      </c>
      <c r="M26" s="1118"/>
      <c r="N26" s="1093"/>
      <c r="O26" s="1094" t="s">
        <v>81</v>
      </c>
      <c r="P26" s="1092"/>
      <c r="Q26" s="1092"/>
      <c r="R26" s="1092"/>
      <c r="S26" s="1093"/>
      <c r="T26" s="1094" t="s">
        <v>81</v>
      </c>
      <c r="U26" s="1130" t="s">
        <v>741</v>
      </c>
      <c r="V26" s="1130"/>
      <c r="W26" s="1091"/>
      <c r="X26" s="1091"/>
      <c r="Y26" s="1091"/>
      <c r="Z26" s="1091"/>
      <c r="AA26" s="1091"/>
      <c r="AB26" s="1091"/>
      <c r="AC26" s="1091"/>
      <c r="AD26" s="1091"/>
      <c r="AE26" s="1091"/>
    </row>
    <row r="27" spans="1:31" x14ac:dyDescent="0.2">
      <c r="A27" s="1096"/>
      <c r="B27" s="1088" t="s">
        <v>437</v>
      </c>
      <c r="C27" s="1088"/>
      <c r="D27" s="1107"/>
      <c r="E27" s="1094" t="s">
        <v>81</v>
      </c>
      <c r="F27" s="1092"/>
      <c r="G27" s="1092"/>
      <c r="H27" s="1092"/>
      <c r="I27" s="1093"/>
      <c r="J27" s="1094" t="s">
        <v>81</v>
      </c>
      <c r="K27" s="1092"/>
      <c r="L27" s="1092"/>
      <c r="M27" s="1118"/>
      <c r="N27" s="1093"/>
      <c r="O27" s="1094" t="s">
        <v>81</v>
      </c>
      <c r="P27" s="1092"/>
      <c r="Q27" s="1092"/>
      <c r="R27" s="1092"/>
      <c r="S27" s="1093"/>
      <c r="T27" s="1094" t="s">
        <v>81</v>
      </c>
      <c r="U27" s="1130" t="s">
        <v>738</v>
      </c>
      <c r="V27" s="1130" t="s">
        <v>742</v>
      </c>
      <c r="W27" s="1091"/>
      <c r="X27" s="1091"/>
      <c r="Y27" s="1091"/>
      <c r="Z27" s="1091"/>
      <c r="AA27" s="1091"/>
      <c r="AB27" s="1091"/>
      <c r="AC27" s="1091"/>
      <c r="AD27" s="1091"/>
      <c r="AE27" s="1091"/>
    </row>
    <row r="28" spans="1:31" x14ac:dyDescent="0.2">
      <c r="A28" s="1096"/>
      <c r="B28" s="1088" t="s">
        <v>121</v>
      </c>
      <c r="C28" s="1088"/>
      <c r="D28" s="1107"/>
      <c r="E28" s="1094" t="s">
        <v>81</v>
      </c>
      <c r="F28" s="1092" t="s">
        <v>743</v>
      </c>
      <c r="G28" s="1092" t="s">
        <v>1069</v>
      </c>
      <c r="H28" s="1092"/>
      <c r="I28" s="1093"/>
      <c r="J28" s="1094" t="s">
        <v>81</v>
      </c>
      <c r="K28" s="1092" t="s">
        <v>111</v>
      </c>
      <c r="L28" s="1092"/>
      <c r="M28" s="1118"/>
      <c r="N28" s="1093"/>
      <c r="O28" s="1094" t="s">
        <v>81</v>
      </c>
      <c r="P28" s="1092"/>
      <c r="Q28" s="1092"/>
      <c r="R28" s="1092"/>
      <c r="S28" s="1093"/>
      <c r="T28" s="1094" t="s">
        <v>81</v>
      </c>
      <c r="U28" s="1130" t="s">
        <v>741</v>
      </c>
      <c r="V28" s="1130"/>
      <c r="W28" s="1091"/>
      <c r="X28" s="1091"/>
      <c r="Y28" s="1091"/>
      <c r="Z28" s="1091"/>
      <c r="AA28" s="1091"/>
      <c r="AB28" s="1091"/>
      <c r="AC28" s="1091"/>
      <c r="AD28" s="1091"/>
      <c r="AE28" s="1091"/>
    </row>
    <row r="29" spans="1:31" x14ac:dyDescent="0.2">
      <c r="A29" s="1096"/>
      <c r="B29" s="1088" t="s">
        <v>45</v>
      </c>
      <c r="C29" s="1088"/>
      <c r="D29" s="1107"/>
      <c r="E29" s="1094" t="s">
        <v>81</v>
      </c>
      <c r="F29" s="1092" t="s">
        <v>2</v>
      </c>
      <c r="G29" s="1092" t="s">
        <v>744</v>
      </c>
      <c r="H29" s="1092"/>
      <c r="I29" s="1093"/>
      <c r="J29" s="1094" t="s">
        <v>81</v>
      </c>
      <c r="K29" s="1092" t="s">
        <v>2</v>
      </c>
      <c r="L29" s="1092" t="s">
        <v>91</v>
      </c>
      <c r="M29" s="1118"/>
      <c r="N29" s="1093"/>
      <c r="O29" s="1094" t="s">
        <v>81</v>
      </c>
      <c r="P29" s="1092" t="s">
        <v>0</v>
      </c>
      <c r="Q29" s="1092" t="s">
        <v>740</v>
      </c>
      <c r="R29" s="1092"/>
      <c r="S29" s="1093"/>
      <c r="T29" s="1094" t="s">
        <v>81</v>
      </c>
      <c r="U29" s="1130" t="s">
        <v>741</v>
      </c>
      <c r="V29" s="1130"/>
      <c r="W29" s="1091"/>
      <c r="X29" s="1091"/>
      <c r="Y29" s="1091"/>
      <c r="Z29" s="1091"/>
      <c r="AA29" s="1091"/>
      <c r="AB29" s="1091"/>
      <c r="AC29" s="1091"/>
      <c r="AD29" s="1091"/>
      <c r="AE29" s="1091"/>
    </row>
    <row r="30" spans="1:31" x14ac:dyDescent="0.2">
      <c r="A30" s="1096"/>
      <c r="B30" s="1088" t="s">
        <v>1067</v>
      </c>
      <c r="C30" s="1088"/>
      <c r="D30" s="1107"/>
      <c r="E30" s="1094" t="s">
        <v>81</v>
      </c>
      <c r="F30" s="1092"/>
      <c r="G30" s="1092"/>
      <c r="H30" s="1092"/>
      <c r="I30" s="1093"/>
      <c r="J30" s="1094" t="s">
        <v>81</v>
      </c>
      <c r="K30" s="1092"/>
      <c r="L30" s="1092"/>
      <c r="M30" s="1118"/>
      <c r="N30" s="1093"/>
      <c r="O30" s="1094" t="s">
        <v>81</v>
      </c>
      <c r="P30" s="1092"/>
      <c r="Q30" s="1092"/>
      <c r="R30" s="1092"/>
      <c r="S30" s="1093"/>
      <c r="T30" s="1094" t="s">
        <v>81</v>
      </c>
      <c r="U30" s="1130" t="s">
        <v>738</v>
      </c>
      <c r="V30" s="1130" t="s">
        <v>742</v>
      </c>
      <c r="W30" s="1091"/>
      <c r="X30" s="1091"/>
      <c r="Y30" s="1091"/>
      <c r="Z30" s="1091"/>
      <c r="AA30" s="1091"/>
      <c r="AB30" s="1091"/>
      <c r="AC30" s="1091"/>
      <c r="AD30" s="1091"/>
      <c r="AE30" s="1091"/>
    </row>
    <row r="31" spans="1:31" x14ac:dyDescent="0.2">
      <c r="A31" s="1096"/>
      <c r="B31" s="1088" t="s">
        <v>438</v>
      </c>
      <c r="C31" s="1088"/>
      <c r="D31" s="1107"/>
      <c r="E31" s="1094" t="s">
        <v>81</v>
      </c>
      <c r="F31" s="1092"/>
      <c r="G31" s="1092"/>
      <c r="H31" s="1092"/>
      <c r="I31" s="1093"/>
      <c r="J31" s="1094" t="s">
        <v>81</v>
      </c>
      <c r="K31" s="1092"/>
      <c r="L31" s="1092"/>
      <c r="M31" s="1118"/>
      <c r="N31" s="1093"/>
      <c r="O31" s="1094" t="s">
        <v>81</v>
      </c>
      <c r="P31" s="1092"/>
      <c r="Q31" s="1092"/>
      <c r="R31" s="1092"/>
      <c r="S31" s="1093"/>
      <c r="T31" s="1094" t="s">
        <v>81</v>
      </c>
      <c r="U31" s="1130"/>
      <c r="V31" s="1130"/>
      <c r="W31" s="1091"/>
      <c r="X31" s="1091"/>
      <c r="Y31" s="1091"/>
      <c r="Z31" s="1091"/>
      <c r="AA31" s="1091"/>
      <c r="AB31" s="1091"/>
      <c r="AC31" s="1091"/>
      <c r="AD31" s="1091"/>
      <c r="AE31" s="1091"/>
    </row>
    <row r="32" spans="1:31" x14ac:dyDescent="0.2">
      <c r="A32" s="1096"/>
      <c r="B32" s="1088" t="s">
        <v>845</v>
      </c>
      <c r="C32" s="1088"/>
      <c r="D32" s="1107"/>
      <c r="E32" s="1094" t="s">
        <v>81</v>
      </c>
      <c r="F32" s="1092"/>
      <c r="G32" s="1092"/>
      <c r="H32" s="1092"/>
      <c r="I32" s="1093"/>
      <c r="J32" s="1094" t="s">
        <v>81</v>
      </c>
      <c r="K32" s="1092"/>
      <c r="L32" s="1092"/>
      <c r="M32" s="1118"/>
      <c r="N32" s="1093"/>
      <c r="O32" s="1094" t="s">
        <v>81</v>
      </c>
      <c r="P32" s="1092"/>
      <c r="Q32" s="1092"/>
      <c r="R32" s="1092"/>
      <c r="S32" s="1093"/>
      <c r="T32" s="1094" t="s">
        <v>81</v>
      </c>
      <c r="U32" s="1130"/>
      <c r="V32" s="1130"/>
      <c r="W32" s="1091"/>
      <c r="X32" s="1091"/>
      <c r="Y32" s="1091"/>
      <c r="Z32" s="1091"/>
      <c r="AA32" s="1091"/>
      <c r="AB32" s="1091"/>
      <c r="AC32" s="1091"/>
      <c r="AD32" s="1091"/>
      <c r="AE32" s="1091"/>
    </row>
    <row r="33" spans="1:31" x14ac:dyDescent="0.2">
      <c r="A33" s="1096"/>
      <c r="B33" s="1088" t="s">
        <v>439</v>
      </c>
      <c r="C33" s="1088"/>
      <c r="D33" s="1107"/>
      <c r="E33" s="1094" t="s">
        <v>81</v>
      </c>
      <c r="F33" s="1092"/>
      <c r="G33" s="1092"/>
      <c r="H33" s="1092"/>
      <c r="I33" s="1093"/>
      <c r="J33" s="1094" t="s">
        <v>81</v>
      </c>
      <c r="K33" s="1092"/>
      <c r="L33" s="1092"/>
      <c r="M33" s="1118"/>
      <c r="N33" s="1093"/>
      <c r="O33" s="1094" t="s">
        <v>81</v>
      </c>
      <c r="P33" s="1092"/>
      <c r="Q33" s="1092"/>
      <c r="R33" s="1092"/>
      <c r="S33" s="1093"/>
      <c r="T33" s="1094" t="s">
        <v>81</v>
      </c>
      <c r="U33" s="1130"/>
      <c r="V33" s="1130"/>
      <c r="W33" s="1091"/>
      <c r="X33" s="1091"/>
      <c r="Y33" s="1091"/>
      <c r="Z33" s="1091"/>
      <c r="AA33" s="1091"/>
      <c r="AB33" s="1091"/>
      <c r="AC33" s="1091"/>
      <c r="AD33" s="1091"/>
      <c r="AE33" s="1091"/>
    </row>
    <row r="34" spans="1:31" x14ac:dyDescent="0.2">
      <c r="A34" s="1096"/>
      <c r="B34" s="1088" t="s">
        <v>442</v>
      </c>
      <c r="C34" s="1088"/>
      <c r="D34" s="1107"/>
      <c r="E34" s="1094" t="s">
        <v>81</v>
      </c>
      <c r="F34" s="1092"/>
      <c r="G34" s="1092"/>
      <c r="H34" s="1092"/>
      <c r="I34" s="1093"/>
      <c r="J34" s="1094" t="s">
        <v>81</v>
      </c>
      <c r="K34" s="1092"/>
      <c r="L34" s="1092"/>
      <c r="M34" s="1118"/>
      <c r="N34" s="1093"/>
      <c r="O34" s="1094" t="s">
        <v>81</v>
      </c>
      <c r="P34" s="1092"/>
      <c r="Q34" s="1092"/>
      <c r="R34" s="1092"/>
      <c r="S34" s="1093"/>
      <c r="T34" s="1094" t="s">
        <v>81</v>
      </c>
      <c r="U34" s="1130"/>
      <c r="V34" s="1130"/>
      <c r="W34" s="1091"/>
      <c r="X34" s="1091"/>
      <c r="Y34" s="1091"/>
      <c r="Z34" s="1091"/>
      <c r="AA34" s="1091"/>
      <c r="AB34" s="1091"/>
      <c r="AC34" s="1091"/>
      <c r="AD34" s="1091"/>
      <c r="AE34" s="1091"/>
    </row>
    <row r="35" spans="1:31" x14ac:dyDescent="0.2">
      <c r="A35" s="1096"/>
      <c r="B35" s="1088" t="s">
        <v>440</v>
      </c>
      <c r="C35" s="1088"/>
      <c r="D35" s="1107"/>
      <c r="E35" s="1094" t="s">
        <v>81</v>
      </c>
      <c r="F35" s="1092"/>
      <c r="G35" s="1092"/>
      <c r="H35" s="1092"/>
      <c r="I35" s="1093"/>
      <c r="J35" s="1094" t="s">
        <v>81</v>
      </c>
      <c r="K35" s="1092"/>
      <c r="L35" s="1092"/>
      <c r="M35" s="1118"/>
      <c r="N35" s="1093"/>
      <c r="O35" s="1094" t="s">
        <v>81</v>
      </c>
      <c r="P35" s="1092"/>
      <c r="Q35" s="1092"/>
      <c r="R35" s="1092"/>
      <c r="S35" s="1093"/>
      <c r="T35" s="1094" t="s">
        <v>81</v>
      </c>
      <c r="U35" s="1130"/>
      <c r="V35" s="1130"/>
      <c r="W35" s="1091"/>
      <c r="X35" s="1091"/>
      <c r="Y35" s="1091"/>
      <c r="Z35" s="1091"/>
      <c r="AA35" s="1091"/>
      <c r="AB35" s="1091"/>
      <c r="AC35" s="1091"/>
      <c r="AD35" s="1091"/>
      <c r="AE35" s="1091"/>
    </row>
    <row r="36" spans="1:31" x14ac:dyDescent="0.2">
      <c r="A36" s="1096"/>
      <c r="B36" s="1088" t="s">
        <v>44</v>
      </c>
      <c r="C36" s="1088"/>
      <c r="D36" s="1107"/>
      <c r="E36" s="1094" t="s">
        <v>81</v>
      </c>
      <c r="F36" s="1092"/>
      <c r="G36" s="1092"/>
      <c r="H36" s="1092"/>
      <c r="I36" s="1093"/>
      <c r="J36" s="1094" t="s">
        <v>81</v>
      </c>
      <c r="K36" s="1092"/>
      <c r="L36" s="1092"/>
      <c r="M36" s="1118"/>
      <c r="N36" s="1093"/>
      <c r="O36" s="1094" t="s">
        <v>81</v>
      </c>
      <c r="P36" s="1092"/>
      <c r="Q36" s="1092"/>
      <c r="R36" s="1092"/>
      <c r="S36" s="1093"/>
      <c r="T36" s="1094" t="s">
        <v>81</v>
      </c>
      <c r="U36" s="1130"/>
      <c r="V36" s="1130"/>
      <c r="W36" s="1091"/>
      <c r="X36" s="1091"/>
      <c r="Y36" s="1091"/>
      <c r="Z36" s="1091"/>
      <c r="AA36" s="1091"/>
      <c r="AB36" s="1091"/>
      <c r="AC36" s="1091"/>
      <c r="AD36" s="1091"/>
      <c r="AE36" s="1091"/>
    </row>
    <row r="37" spans="1:31" x14ac:dyDescent="0.2">
      <c r="A37" s="1096"/>
      <c r="B37" s="1088" t="s">
        <v>43</v>
      </c>
      <c r="C37" s="1088"/>
      <c r="D37" s="1107"/>
      <c r="E37" s="1094" t="s">
        <v>81</v>
      </c>
      <c r="F37" s="1092"/>
      <c r="G37" s="1092"/>
      <c r="H37" s="1092"/>
      <c r="I37" s="1093"/>
      <c r="J37" s="1094" t="s">
        <v>81</v>
      </c>
      <c r="K37" s="1092"/>
      <c r="L37" s="1092"/>
      <c r="M37" s="1118"/>
      <c r="N37" s="1093"/>
      <c r="O37" s="1094" t="s">
        <v>81</v>
      </c>
      <c r="P37" s="1092"/>
      <c r="Q37" s="1092"/>
      <c r="R37" s="1092"/>
      <c r="S37" s="1093"/>
      <c r="T37" s="1094" t="s">
        <v>81</v>
      </c>
      <c r="U37" s="1130"/>
      <c r="V37" s="1130"/>
      <c r="W37" s="1091"/>
      <c r="X37" s="1091"/>
      <c r="Y37" s="1091"/>
      <c r="Z37" s="1091"/>
      <c r="AA37" s="1091"/>
      <c r="AB37" s="1091"/>
      <c r="AC37" s="1091"/>
      <c r="AD37" s="1091"/>
      <c r="AE37" s="1091"/>
    </row>
    <row r="38" spans="1:31" x14ac:dyDescent="0.2">
      <c r="A38" s="1096"/>
      <c r="B38" s="1088" t="s">
        <v>47</v>
      </c>
      <c r="C38" s="1088"/>
      <c r="D38" s="1107"/>
      <c r="E38" s="1094" t="s">
        <v>81</v>
      </c>
      <c r="F38" s="1092"/>
      <c r="G38" s="1092"/>
      <c r="H38" s="1092"/>
      <c r="I38" s="1093"/>
      <c r="J38" s="1094" t="s">
        <v>81</v>
      </c>
      <c r="K38" s="1092"/>
      <c r="L38" s="1092"/>
      <c r="M38" s="1118"/>
      <c r="N38" s="1093"/>
      <c r="O38" s="1094" t="s">
        <v>81</v>
      </c>
      <c r="P38" s="1092"/>
      <c r="Q38" s="1092"/>
      <c r="R38" s="1092"/>
      <c r="S38" s="1093"/>
      <c r="T38" s="1094" t="s">
        <v>81</v>
      </c>
      <c r="U38" s="1130"/>
      <c r="V38" s="1130"/>
      <c r="W38" s="1091"/>
      <c r="X38" s="1091"/>
      <c r="Y38" s="1091"/>
      <c r="Z38" s="1091"/>
      <c r="AA38" s="1091"/>
      <c r="AB38" s="1091"/>
      <c r="AC38" s="1091"/>
      <c r="AD38" s="1091"/>
      <c r="AE38" s="1091"/>
    </row>
    <row r="39" spans="1:31" x14ac:dyDescent="0.2">
      <c r="A39" s="1096"/>
      <c r="B39" s="1088" t="s">
        <v>441</v>
      </c>
      <c r="C39" s="1088"/>
      <c r="D39" s="1107"/>
      <c r="E39" s="1094" t="s">
        <v>81</v>
      </c>
      <c r="F39" s="1092"/>
      <c r="G39" s="1092"/>
      <c r="H39" s="1092"/>
      <c r="I39" s="1093"/>
      <c r="J39" s="1094" t="s">
        <v>81</v>
      </c>
      <c r="K39" s="1092"/>
      <c r="L39" s="1092"/>
      <c r="M39" s="1118"/>
      <c r="N39" s="1093"/>
      <c r="O39" s="1094" t="s">
        <v>81</v>
      </c>
      <c r="P39" s="1092"/>
      <c r="Q39" s="1092"/>
      <c r="R39" s="1092"/>
      <c r="S39" s="1093"/>
      <c r="T39" s="1094" t="s">
        <v>81</v>
      </c>
      <c r="U39" s="1130"/>
      <c r="V39" s="1130"/>
      <c r="W39" s="1091"/>
      <c r="X39" s="1091"/>
      <c r="Y39" s="1091"/>
      <c r="Z39" s="1091"/>
      <c r="AA39" s="1091"/>
      <c r="AB39" s="1091"/>
      <c r="AC39" s="1091"/>
      <c r="AD39" s="1091"/>
      <c r="AE39" s="1091"/>
    </row>
    <row r="40" spans="1:31" x14ac:dyDescent="0.2">
      <c r="A40" s="1096"/>
      <c r="B40" s="1088" t="s">
        <v>39</v>
      </c>
      <c r="C40" s="1088"/>
      <c r="D40" s="1107"/>
      <c r="E40" s="1094" t="s">
        <v>81</v>
      </c>
      <c r="F40" s="1092"/>
      <c r="G40" s="1092"/>
      <c r="H40" s="1092"/>
      <c r="I40" s="1093"/>
      <c r="J40" s="1094" t="s">
        <v>81</v>
      </c>
      <c r="K40" s="1092"/>
      <c r="L40" s="1092"/>
      <c r="M40" s="1118"/>
      <c r="N40" s="1093"/>
      <c r="O40" s="1094" t="s">
        <v>81</v>
      </c>
      <c r="P40" s="1092"/>
      <c r="Q40" s="1092"/>
      <c r="R40" s="1092"/>
      <c r="S40" s="1093"/>
      <c r="T40" s="1094" t="s">
        <v>81</v>
      </c>
      <c r="U40" s="1130"/>
      <c r="V40" s="1130"/>
      <c r="W40" s="1091"/>
      <c r="X40" s="1091"/>
      <c r="Y40" s="1091"/>
      <c r="Z40" s="1091"/>
      <c r="AA40" s="1091"/>
      <c r="AB40" s="1091"/>
      <c r="AC40" s="1091"/>
      <c r="AD40" s="1091"/>
      <c r="AE40" s="1091"/>
    </row>
    <row r="41" spans="1:31" ht="13.5" thickBot="1" x14ac:dyDescent="0.25">
      <c r="A41" s="1096"/>
      <c r="B41" s="1088" t="s">
        <v>486</v>
      </c>
      <c r="C41" s="1088"/>
      <c r="D41" s="1107"/>
      <c r="E41" s="1094" t="s">
        <v>81</v>
      </c>
      <c r="F41" s="1092"/>
      <c r="G41" s="1092"/>
      <c r="H41" s="1092"/>
      <c r="I41" s="1093"/>
      <c r="J41" s="1094" t="s">
        <v>81</v>
      </c>
      <c r="K41" s="1092"/>
      <c r="L41" s="1092"/>
      <c r="M41" s="1118"/>
      <c r="N41" s="1093"/>
      <c r="O41" s="1094" t="s">
        <v>81</v>
      </c>
      <c r="P41" s="1092"/>
      <c r="Q41" s="1092"/>
      <c r="R41" s="1092"/>
      <c r="S41" s="1093"/>
      <c r="T41" s="1094" t="s">
        <v>81</v>
      </c>
      <c r="U41" s="1130"/>
      <c r="V41" s="1130"/>
      <c r="W41" s="1091"/>
      <c r="X41" s="1091"/>
      <c r="Y41" s="1091"/>
      <c r="Z41" s="1091"/>
      <c r="AA41" s="1091"/>
      <c r="AB41" s="1091"/>
      <c r="AC41" s="1091"/>
      <c r="AD41" s="1091"/>
      <c r="AE41" s="1091"/>
    </row>
    <row r="42" spans="1:31" ht="13.5" thickBot="1" x14ac:dyDescent="0.25">
      <c r="A42" s="1098"/>
      <c r="B42" s="1102" t="s">
        <v>756</v>
      </c>
      <c r="C42" s="1103"/>
      <c r="D42" s="1106"/>
      <c r="E42" s="1117"/>
      <c r="F42" s="1103"/>
      <c r="G42" s="1103"/>
      <c r="H42" s="1103"/>
      <c r="I42" s="1106"/>
      <c r="J42" s="1117"/>
      <c r="K42" s="1103"/>
      <c r="L42" s="1103"/>
      <c r="M42" s="1117"/>
      <c r="N42" s="1106"/>
      <c r="O42" s="1117"/>
      <c r="P42" s="1103"/>
      <c r="Q42" s="1103"/>
      <c r="R42" s="1103"/>
      <c r="S42" s="1106"/>
      <c r="T42" s="1117"/>
      <c r="U42" s="1103"/>
      <c r="V42" s="1104"/>
      <c r="W42" s="1091"/>
      <c r="X42" s="1091"/>
      <c r="Y42" s="1091"/>
      <c r="Z42" s="1091"/>
      <c r="AA42" s="1091"/>
      <c r="AB42" s="1091"/>
      <c r="AC42" s="1091"/>
      <c r="AD42" s="1091"/>
      <c r="AE42" s="1091"/>
    </row>
    <row r="43" spans="1:31" x14ac:dyDescent="0.2">
      <c r="A43" s="1096"/>
      <c r="B43" s="1088" t="s">
        <v>42</v>
      </c>
      <c r="C43" s="1088"/>
      <c r="D43" s="1107"/>
      <c r="E43" s="1094" t="s">
        <v>81</v>
      </c>
      <c r="F43" s="1092"/>
      <c r="G43" s="1092"/>
      <c r="H43" s="1092"/>
      <c r="I43" s="1093"/>
      <c r="J43" s="1094" t="s">
        <v>81</v>
      </c>
      <c r="K43" s="1092"/>
      <c r="L43" s="1092"/>
      <c r="M43" s="1118"/>
      <c r="N43" s="1093"/>
      <c r="O43" s="1094" t="s">
        <v>81</v>
      </c>
      <c r="P43" s="1092"/>
      <c r="Q43" s="1092"/>
      <c r="R43" s="1092"/>
      <c r="S43" s="1093"/>
      <c r="T43" s="1094" t="s">
        <v>81</v>
      </c>
      <c r="U43" s="1130" t="s">
        <v>738</v>
      </c>
      <c r="V43" s="1130" t="s">
        <v>739</v>
      </c>
      <c r="W43" s="1091"/>
      <c r="X43" s="1091"/>
      <c r="Y43" s="1091"/>
      <c r="Z43" s="1091"/>
      <c r="AA43" s="1091"/>
      <c r="AB43" s="1091"/>
      <c r="AC43" s="1091"/>
      <c r="AD43" s="1091"/>
      <c r="AE43" s="1091"/>
    </row>
    <row r="44" spans="1:31" x14ac:dyDescent="0.2">
      <c r="A44" s="1096"/>
      <c r="B44" s="1088" t="s">
        <v>618</v>
      </c>
      <c r="C44" s="1088"/>
      <c r="D44" s="1107"/>
      <c r="E44" s="1094" t="s">
        <v>81</v>
      </c>
      <c r="F44" s="1092" t="s">
        <v>0</v>
      </c>
      <c r="G44" s="1092" t="s">
        <v>740</v>
      </c>
      <c r="H44" s="1092"/>
      <c r="I44" s="1093"/>
      <c r="J44" s="1094" t="s">
        <v>81</v>
      </c>
      <c r="K44" s="1092" t="s">
        <v>2</v>
      </c>
      <c r="L44" s="1092" t="s">
        <v>91</v>
      </c>
      <c r="M44" s="1118"/>
      <c r="N44" s="1093"/>
      <c r="O44" s="1094" t="s">
        <v>81</v>
      </c>
      <c r="P44" s="1092"/>
      <c r="Q44" s="1092"/>
      <c r="R44" s="1092"/>
      <c r="S44" s="1093"/>
      <c r="T44" s="1094" t="s">
        <v>81</v>
      </c>
      <c r="U44" s="1130" t="s">
        <v>741</v>
      </c>
      <c r="V44" s="1130"/>
      <c r="W44" s="1091"/>
      <c r="X44" s="1091"/>
      <c r="Y44" s="1091"/>
      <c r="Z44" s="1091"/>
      <c r="AA44" s="1091"/>
      <c r="AB44" s="1091"/>
      <c r="AC44" s="1091"/>
      <c r="AD44" s="1091"/>
      <c r="AE44" s="1091"/>
    </row>
    <row r="45" spans="1:31" x14ac:dyDescent="0.2">
      <c r="A45" s="1096"/>
      <c r="B45" s="1088" t="s">
        <v>437</v>
      </c>
      <c r="C45" s="1088"/>
      <c r="D45" s="1107"/>
      <c r="E45" s="1094" t="s">
        <v>81</v>
      </c>
      <c r="F45" s="1092"/>
      <c r="G45" s="1092"/>
      <c r="H45" s="1092"/>
      <c r="I45" s="1093"/>
      <c r="J45" s="1094" t="s">
        <v>81</v>
      </c>
      <c r="K45" s="1092"/>
      <c r="L45" s="1092"/>
      <c r="M45" s="1118"/>
      <c r="N45" s="1093"/>
      <c r="O45" s="1094" t="s">
        <v>81</v>
      </c>
      <c r="P45" s="1092"/>
      <c r="Q45" s="1092"/>
      <c r="R45" s="1092"/>
      <c r="S45" s="1093"/>
      <c r="T45" s="1094" t="s">
        <v>81</v>
      </c>
      <c r="U45" s="1130" t="s">
        <v>738</v>
      </c>
      <c r="V45" s="1130" t="s">
        <v>742</v>
      </c>
      <c r="W45" s="1091"/>
      <c r="X45" s="1091"/>
      <c r="Y45" s="1091"/>
      <c r="Z45" s="1091"/>
      <c r="AA45" s="1091"/>
      <c r="AB45" s="1091"/>
      <c r="AC45" s="1091"/>
      <c r="AD45" s="1091"/>
      <c r="AE45" s="1091"/>
    </row>
    <row r="46" spans="1:31" x14ac:dyDescent="0.2">
      <c r="A46" s="1096"/>
      <c r="B46" s="1088" t="s">
        <v>121</v>
      </c>
      <c r="C46" s="1088"/>
      <c r="D46" s="1107"/>
      <c r="E46" s="1094" t="s">
        <v>81</v>
      </c>
      <c r="F46" s="1092" t="s">
        <v>743</v>
      </c>
      <c r="G46" s="1092" t="s">
        <v>1069</v>
      </c>
      <c r="H46" s="1092"/>
      <c r="I46" s="1093"/>
      <c r="J46" s="1094" t="s">
        <v>81</v>
      </c>
      <c r="K46" s="1092" t="s">
        <v>111</v>
      </c>
      <c r="L46" s="1092"/>
      <c r="M46" s="1118"/>
      <c r="N46" s="1093"/>
      <c r="O46" s="1094" t="s">
        <v>81</v>
      </c>
      <c r="P46" s="1092"/>
      <c r="Q46" s="1092"/>
      <c r="R46" s="1092"/>
      <c r="S46" s="1093"/>
      <c r="T46" s="1094" t="s">
        <v>81</v>
      </c>
      <c r="U46" s="1130" t="s">
        <v>741</v>
      </c>
      <c r="V46" s="1130"/>
      <c r="W46" s="1091"/>
      <c r="X46" s="1091"/>
      <c r="Y46" s="1091"/>
      <c r="Z46" s="1091"/>
      <c r="AA46" s="1091"/>
      <c r="AB46" s="1091"/>
      <c r="AC46" s="1091"/>
      <c r="AD46" s="1091"/>
      <c r="AE46" s="1091"/>
    </row>
    <row r="47" spans="1:31" x14ac:dyDescent="0.2">
      <c r="A47" s="1096"/>
      <c r="B47" s="1088" t="s">
        <v>45</v>
      </c>
      <c r="C47" s="1088"/>
      <c r="D47" s="1107"/>
      <c r="E47" s="1094" t="s">
        <v>81</v>
      </c>
      <c r="F47" s="1092" t="s">
        <v>2</v>
      </c>
      <c r="G47" s="1092" t="s">
        <v>744</v>
      </c>
      <c r="H47" s="1092"/>
      <c r="I47" s="1093"/>
      <c r="J47" s="1094" t="s">
        <v>81</v>
      </c>
      <c r="K47" s="1092" t="s">
        <v>2</v>
      </c>
      <c r="L47" s="1092" t="s">
        <v>91</v>
      </c>
      <c r="M47" s="1118"/>
      <c r="N47" s="1093"/>
      <c r="O47" s="1094" t="s">
        <v>81</v>
      </c>
      <c r="P47" s="1092" t="s">
        <v>0</v>
      </c>
      <c r="Q47" s="1092" t="s">
        <v>740</v>
      </c>
      <c r="R47" s="1092"/>
      <c r="S47" s="1093"/>
      <c r="T47" s="1094" t="s">
        <v>81</v>
      </c>
      <c r="U47" s="1130" t="s">
        <v>741</v>
      </c>
      <c r="V47" s="1130"/>
      <c r="W47" s="1091"/>
      <c r="X47" s="1091"/>
      <c r="Y47" s="1091"/>
      <c r="Z47" s="1091"/>
      <c r="AA47" s="1091"/>
      <c r="AB47" s="1091"/>
      <c r="AC47" s="1091"/>
      <c r="AD47" s="1091"/>
      <c r="AE47" s="1091"/>
    </row>
    <row r="48" spans="1:31" x14ac:dyDescent="0.2">
      <c r="A48" s="1096"/>
      <c r="B48" s="1088" t="s">
        <v>1067</v>
      </c>
      <c r="C48" s="1088"/>
      <c r="D48" s="1107"/>
      <c r="E48" s="1094" t="s">
        <v>81</v>
      </c>
      <c r="F48" s="1092"/>
      <c r="G48" s="1092"/>
      <c r="H48" s="1092"/>
      <c r="I48" s="1093"/>
      <c r="J48" s="1094" t="s">
        <v>81</v>
      </c>
      <c r="K48" s="1092"/>
      <c r="L48" s="1092"/>
      <c r="M48" s="1118"/>
      <c r="N48" s="1093"/>
      <c r="O48" s="1094" t="s">
        <v>81</v>
      </c>
      <c r="P48" s="1092"/>
      <c r="Q48" s="1092"/>
      <c r="R48" s="1092"/>
      <c r="S48" s="1093"/>
      <c r="T48" s="1094" t="s">
        <v>81</v>
      </c>
      <c r="U48" s="1130" t="s">
        <v>738</v>
      </c>
      <c r="V48" s="1130" t="s">
        <v>742</v>
      </c>
      <c r="W48" s="1091"/>
      <c r="X48" s="1091"/>
      <c r="Y48" s="1091"/>
      <c r="Z48" s="1091"/>
      <c r="AA48" s="1091"/>
      <c r="AB48" s="1091"/>
      <c r="AC48" s="1091"/>
      <c r="AD48" s="1091"/>
      <c r="AE48" s="1091"/>
    </row>
    <row r="49" spans="1:31" x14ac:dyDescent="0.2">
      <c r="A49" s="1096"/>
      <c r="B49" s="1088" t="s">
        <v>438</v>
      </c>
      <c r="C49" s="1088"/>
      <c r="D49" s="1107"/>
      <c r="E49" s="1094" t="s">
        <v>81</v>
      </c>
      <c r="F49" s="1092"/>
      <c r="G49" s="1092"/>
      <c r="H49" s="1092"/>
      <c r="I49" s="1093"/>
      <c r="J49" s="1094" t="s">
        <v>81</v>
      </c>
      <c r="K49" s="1092"/>
      <c r="L49" s="1092"/>
      <c r="M49" s="1118"/>
      <c r="N49" s="1093"/>
      <c r="O49" s="1094" t="s">
        <v>81</v>
      </c>
      <c r="P49" s="1092"/>
      <c r="Q49" s="1092"/>
      <c r="R49" s="1092"/>
      <c r="S49" s="1093"/>
      <c r="T49" s="1094" t="s">
        <v>81</v>
      </c>
      <c r="U49" s="1130"/>
      <c r="V49" s="1130"/>
      <c r="W49" s="1091"/>
      <c r="X49" s="1091"/>
      <c r="Y49" s="1091"/>
      <c r="Z49" s="1091"/>
      <c r="AA49" s="1091"/>
      <c r="AB49" s="1091"/>
      <c r="AC49" s="1091"/>
      <c r="AD49" s="1091"/>
      <c r="AE49" s="1091"/>
    </row>
    <row r="50" spans="1:31" x14ac:dyDescent="0.2">
      <c r="A50" s="1096"/>
      <c r="B50" s="1088" t="s">
        <v>845</v>
      </c>
      <c r="C50" s="1088"/>
      <c r="D50" s="1107"/>
      <c r="E50" s="1094" t="s">
        <v>81</v>
      </c>
      <c r="F50" s="1092"/>
      <c r="G50" s="1092"/>
      <c r="H50" s="1092"/>
      <c r="I50" s="1093"/>
      <c r="J50" s="1094" t="s">
        <v>81</v>
      </c>
      <c r="K50" s="1092"/>
      <c r="L50" s="1092"/>
      <c r="M50" s="1118"/>
      <c r="N50" s="1093"/>
      <c r="O50" s="1094" t="s">
        <v>81</v>
      </c>
      <c r="P50" s="1092"/>
      <c r="Q50" s="1092"/>
      <c r="R50" s="1092"/>
      <c r="S50" s="1093"/>
      <c r="T50" s="1094" t="s">
        <v>81</v>
      </c>
      <c r="U50" s="1130"/>
      <c r="V50" s="1130"/>
      <c r="W50" s="1091"/>
      <c r="X50" s="1091"/>
      <c r="Y50" s="1091"/>
      <c r="Z50" s="1091"/>
      <c r="AA50" s="1091"/>
      <c r="AB50" s="1091"/>
      <c r="AC50" s="1091"/>
      <c r="AD50" s="1091"/>
      <c r="AE50" s="1091"/>
    </row>
    <row r="51" spans="1:31" x14ac:dyDescent="0.2">
      <c r="A51" s="1096"/>
      <c r="B51" s="1088" t="s">
        <v>439</v>
      </c>
      <c r="C51" s="1088"/>
      <c r="D51" s="1107"/>
      <c r="E51" s="1094" t="s">
        <v>81</v>
      </c>
      <c r="F51" s="1092"/>
      <c r="G51" s="1092"/>
      <c r="H51" s="1092"/>
      <c r="I51" s="1093"/>
      <c r="J51" s="1094" t="s">
        <v>81</v>
      </c>
      <c r="K51" s="1092"/>
      <c r="L51" s="1092"/>
      <c r="M51" s="1118"/>
      <c r="N51" s="1093"/>
      <c r="O51" s="1094" t="s">
        <v>81</v>
      </c>
      <c r="P51" s="1092"/>
      <c r="Q51" s="1092"/>
      <c r="R51" s="1092"/>
      <c r="S51" s="1093"/>
      <c r="T51" s="1094" t="s">
        <v>81</v>
      </c>
      <c r="U51" s="1130"/>
      <c r="V51" s="1130"/>
      <c r="W51" s="1091"/>
      <c r="X51" s="1091"/>
      <c r="Y51" s="1091"/>
      <c r="Z51" s="1091"/>
      <c r="AA51" s="1091"/>
      <c r="AB51" s="1091"/>
      <c r="AC51" s="1091"/>
      <c r="AD51" s="1091"/>
      <c r="AE51" s="1091"/>
    </row>
    <row r="52" spans="1:31" x14ac:dyDescent="0.2">
      <c r="A52" s="1096"/>
      <c r="B52" s="1088" t="s">
        <v>442</v>
      </c>
      <c r="C52" s="1088"/>
      <c r="D52" s="1107"/>
      <c r="E52" s="1094" t="s">
        <v>81</v>
      </c>
      <c r="F52" s="1092"/>
      <c r="G52" s="1092"/>
      <c r="H52" s="1092"/>
      <c r="I52" s="1093"/>
      <c r="J52" s="1094" t="s">
        <v>81</v>
      </c>
      <c r="K52" s="1092"/>
      <c r="L52" s="1092"/>
      <c r="M52" s="1118"/>
      <c r="N52" s="1093"/>
      <c r="O52" s="1094" t="s">
        <v>81</v>
      </c>
      <c r="P52" s="1092"/>
      <c r="Q52" s="1092"/>
      <c r="R52" s="1092"/>
      <c r="S52" s="1093"/>
      <c r="T52" s="1094" t="s">
        <v>81</v>
      </c>
      <c r="U52" s="1130"/>
      <c r="V52" s="1130"/>
      <c r="W52" s="1091"/>
      <c r="X52" s="1091"/>
      <c r="Y52" s="1091"/>
      <c r="Z52" s="1091"/>
      <c r="AA52" s="1091"/>
      <c r="AB52" s="1091"/>
      <c r="AC52" s="1091"/>
      <c r="AD52" s="1091"/>
      <c r="AE52" s="1091"/>
    </row>
    <row r="53" spans="1:31" x14ac:dyDescent="0.2">
      <c r="A53" s="1096"/>
      <c r="B53" s="1088" t="s">
        <v>440</v>
      </c>
      <c r="C53" s="1088"/>
      <c r="D53" s="1107"/>
      <c r="E53" s="1094" t="s">
        <v>81</v>
      </c>
      <c r="F53" s="1092"/>
      <c r="G53" s="1092"/>
      <c r="H53" s="1092"/>
      <c r="I53" s="1093"/>
      <c r="J53" s="1094" t="s">
        <v>81</v>
      </c>
      <c r="K53" s="1092"/>
      <c r="L53" s="1092"/>
      <c r="M53" s="1118"/>
      <c r="N53" s="1093"/>
      <c r="O53" s="1094" t="s">
        <v>81</v>
      </c>
      <c r="P53" s="1092"/>
      <c r="Q53" s="1092"/>
      <c r="R53" s="1092"/>
      <c r="S53" s="1093"/>
      <c r="T53" s="1094" t="s">
        <v>81</v>
      </c>
      <c r="U53" s="1130"/>
      <c r="V53" s="1130"/>
      <c r="W53" s="1091"/>
      <c r="X53" s="1091"/>
      <c r="Y53" s="1091"/>
      <c r="Z53" s="1091"/>
      <c r="AA53" s="1091"/>
      <c r="AB53" s="1091"/>
      <c r="AC53" s="1091"/>
      <c r="AD53" s="1091"/>
      <c r="AE53" s="1091"/>
    </row>
    <row r="54" spans="1:31" x14ac:dyDescent="0.2">
      <c r="A54" s="1096"/>
      <c r="B54" s="1088" t="s">
        <v>44</v>
      </c>
      <c r="C54" s="1088"/>
      <c r="D54" s="1107"/>
      <c r="E54" s="1094" t="s">
        <v>81</v>
      </c>
      <c r="F54" s="1092"/>
      <c r="G54" s="1092"/>
      <c r="H54" s="1092"/>
      <c r="I54" s="1093"/>
      <c r="J54" s="1094" t="s">
        <v>81</v>
      </c>
      <c r="K54" s="1092"/>
      <c r="L54" s="1092"/>
      <c r="M54" s="1118"/>
      <c r="N54" s="1093"/>
      <c r="O54" s="1094" t="s">
        <v>81</v>
      </c>
      <c r="P54" s="1092"/>
      <c r="Q54" s="1092"/>
      <c r="R54" s="1092"/>
      <c r="S54" s="1093"/>
      <c r="T54" s="1094" t="s">
        <v>81</v>
      </c>
      <c r="U54" s="1130"/>
      <c r="V54" s="1130"/>
      <c r="W54" s="1091"/>
      <c r="X54" s="1091"/>
      <c r="Y54" s="1091"/>
      <c r="Z54" s="1091"/>
      <c r="AA54" s="1091"/>
      <c r="AB54" s="1091"/>
      <c r="AC54" s="1091"/>
      <c r="AD54" s="1091"/>
      <c r="AE54" s="1091"/>
    </row>
    <row r="55" spans="1:31" x14ac:dyDescent="0.2">
      <c r="A55" s="1096"/>
      <c r="B55" s="1088" t="s">
        <v>43</v>
      </c>
      <c r="C55" s="1088"/>
      <c r="D55" s="1107"/>
      <c r="E55" s="1094" t="s">
        <v>81</v>
      </c>
      <c r="F55" s="1092"/>
      <c r="G55" s="1092"/>
      <c r="H55" s="1092"/>
      <c r="I55" s="1093"/>
      <c r="J55" s="1094" t="s">
        <v>81</v>
      </c>
      <c r="K55" s="1092"/>
      <c r="L55" s="1092"/>
      <c r="M55" s="1118"/>
      <c r="N55" s="1093"/>
      <c r="O55" s="1094" t="s">
        <v>81</v>
      </c>
      <c r="P55" s="1092"/>
      <c r="Q55" s="1092"/>
      <c r="R55" s="1092"/>
      <c r="S55" s="1093"/>
      <c r="T55" s="1094" t="s">
        <v>81</v>
      </c>
      <c r="U55" s="1130"/>
      <c r="V55" s="1130"/>
      <c r="W55" s="1091"/>
      <c r="X55" s="1091"/>
      <c r="Y55" s="1091"/>
      <c r="Z55" s="1091"/>
      <c r="AA55" s="1091"/>
      <c r="AB55" s="1091"/>
      <c r="AC55" s="1091"/>
      <c r="AD55" s="1091"/>
      <c r="AE55" s="1091"/>
    </row>
    <row r="56" spans="1:31" x14ac:dyDescent="0.2">
      <c r="A56" s="1096"/>
      <c r="B56" s="1088" t="s">
        <v>47</v>
      </c>
      <c r="C56" s="1088"/>
      <c r="D56" s="1107"/>
      <c r="E56" s="1094" t="s">
        <v>81</v>
      </c>
      <c r="F56" s="1092"/>
      <c r="G56" s="1092"/>
      <c r="H56" s="1092"/>
      <c r="I56" s="1093"/>
      <c r="J56" s="1094" t="s">
        <v>81</v>
      </c>
      <c r="K56" s="1092"/>
      <c r="L56" s="1092"/>
      <c r="M56" s="1118"/>
      <c r="N56" s="1093"/>
      <c r="O56" s="1094" t="s">
        <v>81</v>
      </c>
      <c r="P56" s="1092"/>
      <c r="Q56" s="1092"/>
      <c r="R56" s="1092"/>
      <c r="S56" s="1093"/>
      <c r="T56" s="1094" t="s">
        <v>81</v>
      </c>
      <c r="U56" s="1130"/>
      <c r="V56" s="1130"/>
      <c r="W56" s="1091"/>
      <c r="X56" s="1091"/>
      <c r="Y56" s="1091"/>
      <c r="Z56" s="1091"/>
      <c r="AA56" s="1091"/>
      <c r="AB56" s="1091"/>
      <c r="AC56" s="1091"/>
      <c r="AD56" s="1091"/>
      <c r="AE56" s="1091"/>
    </row>
    <row r="57" spans="1:31" x14ac:dyDescent="0.2">
      <c r="A57" s="1096"/>
      <c r="B57" s="1088" t="s">
        <v>441</v>
      </c>
      <c r="C57" s="1088"/>
      <c r="D57" s="1107"/>
      <c r="E57" s="1094" t="s">
        <v>81</v>
      </c>
      <c r="F57" s="1092"/>
      <c r="G57" s="1092"/>
      <c r="H57" s="1092"/>
      <c r="I57" s="1093"/>
      <c r="J57" s="1094" t="s">
        <v>81</v>
      </c>
      <c r="K57" s="1092"/>
      <c r="L57" s="1092"/>
      <c r="M57" s="1118"/>
      <c r="N57" s="1093"/>
      <c r="O57" s="1094" t="s">
        <v>81</v>
      </c>
      <c r="P57" s="1092"/>
      <c r="Q57" s="1092"/>
      <c r="R57" s="1092"/>
      <c r="S57" s="1093"/>
      <c r="T57" s="1094" t="s">
        <v>81</v>
      </c>
      <c r="U57" s="1130"/>
      <c r="V57" s="1130"/>
      <c r="W57" s="1091"/>
      <c r="X57" s="1091"/>
      <c r="Y57" s="1091"/>
      <c r="Z57" s="1091"/>
      <c r="AA57" s="1091"/>
      <c r="AB57" s="1091"/>
      <c r="AC57" s="1091"/>
      <c r="AD57" s="1091"/>
      <c r="AE57" s="1091"/>
    </row>
    <row r="58" spans="1:31" x14ac:dyDescent="0.2">
      <c r="A58" s="1096"/>
      <c r="B58" s="1088" t="s">
        <v>39</v>
      </c>
      <c r="C58" s="1088"/>
      <c r="D58" s="1107"/>
      <c r="E58" s="1094" t="s">
        <v>81</v>
      </c>
      <c r="F58" s="1092"/>
      <c r="G58" s="1092"/>
      <c r="H58" s="1092"/>
      <c r="I58" s="1093"/>
      <c r="J58" s="1094" t="s">
        <v>81</v>
      </c>
      <c r="K58" s="1092"/>
      <c r="L58" s="1092"/>
      <c r="M58" s="1118"/>
      <c r="N58" s="1093"/>
      <c r="O58" s="1094" t="s">
        <v>81</v>
      </c>
      <c r="P58" s="1092"/>
      <c r="Q58" s="1092"/>
      <c r="R58" s="1092"/>
      <c r="S58" s="1093"/>
      <c r="T58" s="1094" t="s">
        <v>81</v>
      </c>
      <c r="U58" s="1130"/>
      <c r="V58" s="1130"/>
      <c r="W58" s="1091"/>
      <c r="X58" s="1091"/>
      <c r="Y58" s="1091"/>
      <c r="Z58" s="1091"/>
      <c r="AA58" s="1091"/>
      <c r="AB58" s="1091"/>
      <c r="AC58" s="1091"/>
      <c r="AD58" s="1091"/>
      <c r="AE58" s="1091"/>
    </row>
    <row r="59" spans="1:31" ht="13.5" thickBot="1" x14ac:dyDescent="0.25">
      <c r="A59" s="1096"/>
      <c r="B59" s="1088" t="s">
        <v>486</v>
      </c>
      <c r="C59" s="1088"/>
      <c r="D59" s="1107"/>
      <c r="E59" s="1094" t="s">
        <v>81</v>
      </c>
      <c r="F59" s="1092"/>
      <c r="G59" s="1092"/>
      <c r="H59" s="1092"/>
      <c r="I59" s="1093"/>
      <c r="J59" s="1094" t="s">
        <v>81</v>
      </c>
      <c r="K59" s="1092"/>
      <c r="L59" s="1092"/>
      <c r="M59" s="1118"/>
      <c r="N59" s="1093"/>
      <c r="O59" s="1094" t="s">
        <v>81</v>
      </c>
      <c r="P59" s="1092"/>
      <c r="Q59" s="1092"/>
      <c r="R59" s="1092"/>
      <c r="S59" s="1093"/>
      <c r="T59" s="1094" t="s">
        <v>81</v>
      </c>
      <c r="U59" s="1130"/>
      <c r="V59" s="1130"/>
      <c r="W59" s="1091"/>
      <c r="X59" s="1091"/>
      <c r="Y59" s="1091"/>
      <c r="Z59" s="1091"/>
      <c r="AA59" s="1091"/>
      <c r="AB59" s="1091"/>
      <c r="AC59" s="1091"/>
      <c r="AD59" s="1091"/>
      <c r="AE59" s="1091"/>
    </row>
    <row r="60" spans="1:31" ht="13.5" thickBot="1" x14ac:dyDescent="0.25">
      <c r="A60" s="1098"/>
      <c r="B60" s="1102" t="s">
        <v>214</v>
      </c>
      <c r="C60" s="1103"/>
      <c r="D60" s="1106"/>
      <c r="E60" s="1117"/>
      <c r="F60" s="1103"/>
      <c r="G60" s="1103"/>
      <c r="H60" s="1103"/>
      <c r="I60" s="1106"/>
      <c r="J60" s="1117"/>
      <c r="K60" s="1103"/>
      <c r="L60" s="1103"/>
      <c r="M60" s="1117"/>
      <c r="N60" s="1106"/>
      <c r="O60" s="1117"/>
      <c r="P60" s="1103"/>
      <c r="Q60" s="1103"/>
      <c r="R60" s="1103"/>
      <c r="S60" s="1106"/>
      <c r="T60" s="1117"/>
      <c r="U60" s="1103"/>
      <c r="V60" s="1104"/>
      <c r="W60" s="1091"/>
      <c r="X60" s="1091"/>
      <c r="Y60" s="1091"/>
      <c r="Z60" s="1091"/>
      <c r="AA60" s="1091"/>
      <c r="AB60" s="1091"/>
      <c r="AC60" s="1091"/>
      <c r="AD60" s="1091"/>
      <c r="AE60" s="1091"/>
    </row>
    <row r="61" spans="1:31" x14ac:dyDescent="0.2">
      <c r="A61" s="1096"/>
      <c r="B61" s="1088" t="s">
        <v>42</v>
      </c>
      <c r="C61" s="1088"/>
      <c r="D61" s="1107"/>
      <c r="E61" s="1094" t="s">
        <v>81</v>
      </c>
      <c r="F61" s="1092"/>
      <c r="G61" s="1092"/>
      <c r="H61" s="1092"/>
      <c r="I61" s="1093"/>
      <c r="J61" s="1094" t="s">
        <v>81</v>
      </c>
      <c r="K61" s="1092"/>
      <c r="L61" s="1092"/>
      <c r="M61" s="1118"/>
      <c r="N61" s="1093"/>
      <c r="O61" s="1094" t="s">
        <v>81</v>
      </c>
      <c r="P61" s="1092"/>
      <c r="Q61" s="1092"/>
      <c r="R61" s="1092"/>
      <c r="S61" s="1093"/>
      <c r="T61" s="1094" t="s">
        <v>81</v>
      </c>
      <c r="U61" s="1130"/>
      <c r="V61" s="1130"/>
      <c r="W61" s="1091"/>
      <c r="X61" s="1091"/>
      <c r="Y61" s="1091"/>
      <c r="Z61" s="1091"/>
      <c r="AA61" s="1091"/>
      <c r="AB61" s="1091"/>
      <c r="AC61" s="1091"/>
      <c r="AD61" s="1091"/>
      <c r="AE61" s="1091"/>
    </row>
    <row r="62" spans="1:31" x14ac:dyDescent="0.2">
      <c r="A62" s="1096"/>
      <c r="B62" s="1088" t="s">
        <v>618</v>
      </c>
      <c r="C62" s="1088"/>
      <c r="D62" s="1107"/>
      <c r="E62" s="1094" t="s">
        <v>81</v>
      </c>
      <c r="F62" s="1092"/>
      <c r="G62" s="1092"/>
      <c r="H62" s="1092"/>
      <c r="I62" s="1093"/>
      <c r="J62" s="1094" t="s">
        <v>81</v>
      </c>
      <c r="K62" s="1092"/>
      <c r="L62" s="1092"/>
      <c r="M62" s="1118"/>
      <c r="N62" s="1093"/>
      <c r="O62" s="1094" t="s">
        <v>81</v>
      </c>
      <c r="P62" s="1092"/>
      <c r="Q62" s="1092"/>
      <c r="R62" s="1092"/>
      <c r="S62" s="1093"/>
      <c r="T62" s="1094" t="s">
        <v>81</v>
      </c>
      <c r="U62" s="1130"/>
      <c r="V62" s="1130"/>
      <c r="W62" s="1091"/>
      <c r="X62" s="1091"/>
      <c r="Y62" s="1091"/>
      <c r="Z62" s="1091"/>
      <c r="AA62" s="1091"/>
      <c r="AB62" s="1091"/>
      <c r="AC62" s="1091"/>
      <c r="AD62" s="1091"/>
      <c r="AE62" s="1091"/>
    </row>
    <row r="63" spans="1:31" x14ac:dyDescent="0.2">
      <c r="A63" s="1096"/>
      <c r="B63" s="1088" t="s">
        <v>437</v>
      </c>
      <c r="C63" s="1088"/>
      <c r="D63" s="1107"/>
      <c r="E63" s="1094" t="s">
        <v>81</v>
      </c>
      <c r="F63" s="1092"/>
      <c r="G63" s="1092"/>
      <c r="H63" s="1092"/>
      <c r="I63" s="1093"/>
      <c r="J63" s="1094" t="s">
        <v>81</v>
      </c>
      <c r="K63" s="1092"/>
      <c r="L63" s="1092"/>
      <c r="M63" s="1118"/>
      <c r="N63" s="1093"/>
      <c r="O63" s="1094" t="s">
        <v>81</v>
      </c>
      <c r="P63" s="1092"/>
      <c r="Q63" s="1092"/>
      <c r="R63" s="1092"/>
      <c r="S63" s="1093"/>
      <c r="T63" s="1094" t="s">
        <v>81</v>
      </c>
      <c r="U63" s="1130"/>
      <c r="V63" s="1130"/>
      <c r="W63" s="1091"/>
      <c r="X63" s="1091"/>
      <c r="Y63" s="1091"/>
      <c r="Z63" s="1091"/>
      <c r="AA63" s="1091"/>
      <c r="AB63" s="1091"/>
      <c r="AC63" s="1091"/>
      <c r="AD63" s="1091"/>
      <c r="AE63" s="1091"/>
    </row>
    <row r="64" spans="1:31" x14ac:dyDescent="0.2">
      <c r="A64" s="1096"/>
      <c r="B64" s="1088" t="s">
        <v>121</v>
      </c>
      <c r="C64" s="1088"/>
      <c r="D64" s="1107"/>
      <c r="E64" s="1094" t="s">
        <v>81</v>
      </c>
      <c r="F64" s="1092"/>
      <c r="G64" s="1092"/>
      <c r="H64" s="1092"/>
      <c r="I64" s="1093"/>
      <c r="J64" s="1094" t="s">
        <v>81</v>
      </c>
      <c r="K64" s="1092"/>
      <c r="L64" s="1092"/>
      <c r="M64" s="1118"/>
      <c r="N64" s="1093"/>
      <c r="O64" s="1094" t="s">
        <v>81</v>
      </c>
      <c r="P64" s="1092"/>
      <c r="Q64" s="1092"/>
      <c r="R64" s="1092"/>
      <c r="S64" s="1093"/>
      <c r="T64" s="1094" t="s">
        <v>81</v>
      </c>
      <c r="U64" s="1130"/>
      <c r="V64" s="1130"/>
      <c r="W64" s="1091"/>
      <c r="X64" s="1091"/>
      <c r="Y64" s="1091"/>
      <c r="Z64" s="1091"/>
      <c r="AA64" s="1091"/>
      <c r="AB64" s="1091"/>
      <c r="AC64" s="1091"/>
      <c r="AD64" s="1091"/>
      <c r="AE64" s="1091"/>
    </row>
    <row r="65" spans="1:31" x14ac:dyDescent="0.2">
      <c r="A65" s="1096"/>
      <c r="B65" s="1088" t="s">
        <v>45</v>
      </c>
      <c r="C65" s="1088"/>
      <c r="D65" s="1107"/>
      <c r="E65" s="1094" t="s">
        <v>81</v>
      </c>
      <c r="F65" s="1092"/>
      <c r="G65" s="1092"/>
      <c r="H65" s="1092"/>
      <c r="I65" s="1093"/>
      <c r="J65" s="1094" t="s">
        <v>81</v>
      </c>
      <c r="K65" s="1092"/>
      <c r="L65" s="1092"/>
      <c r="M65" s="1118"/>
      <c r="N65" s="1093"/>
      <c r="O65" s="1094" t="s">
        <v>81</v>
      </c>
      <c r="P65" s="1092"/>
      <c r="Q65" s="1092"/>
      <c r="R65" s="1092"/>
      <c r="S65" s="1093"/>
      <c r="T65" s="1094" t="s">
        <v>81</v>
      </c>
      <c r="U65" s="1130"/>
      <c r="V65" s="1130"/>
      <c r="W65" s="1091"/>
      <c r="X65" s="1091"/>
      <c r="Y65" s="1091"/>
      <c r="Z65" s="1091"/>
      <c r="AA65" s="1091"/>
      <c r="AB65" s="1091"/>
      <c r="AC65" s="1091"/>
      <c r="AD65" s="1091"/>
      <c r="AE65" s="1091"/>
    </row>
    <row r="66" spans="1:31" x14ac:dyDescent="0.2">
      <c r="A66" s="1096"/>
      <c r="B66" s="1088" t="s">
        <v>1067</v>
      </c>
      <c r="C66" s="1088"/>
      <c r="D66" s="1107"/>
      <c r="E66" s="1094" t="s">
        <v>81</v>
      </c>
      <c r="F66" s="1092"/>
      <c r="G66" s="1092"/>
      <c r="H66" s="1092"/>
      <c r="I66" s="1093"/>
      <c r="J66" s="1094" t="s">
        <v>81</v>
      </c>
      <c r="K66" s="1092"/>
      <c r="L66" s="1092"/>
      <c r="M66" s="1118"/>
      <c r="N66" s="1093"/>
      <c r="O66" s="1094" t="s">
        <v>81</v>
      </c>
      <c r="P66" s="1092"/>
      <c r="Q66" s="1092"/>
      <c r="R66" s="1092"/>
      <c r="S66" s="1093"/>
      <c r="T66" s="1094" t="s">
        <v>81</v>
      </c>
      <c r="U66" s="1130"/>
      <c r="V66" s="1130"/>
      <c r="W66" s="1091"/>
      <c r="X66" s="1091"/>
      <c r="Y66" s="1091"/>
      <c r="Z66" s="1091"/>
      <c r="AA66" s="1091"/>
      <c r="AB66" s="1091"/>
      <c r="AC66" s="1091"/>
      <c r="AD66" s="1091"/>
      <c r="AE66" s="1091"/>
    </row>
    <row r="67" spans="1:31" x14ac:dyDescent="0.2">
      <c r="A67" s="1096"/>
      <c r="B67" s="1088" t="s">
        <v>438</v>
      </c>
      <c r="C67" s="1088"/>
      <c r="D67" s="1107"/>
      <c r="E67" s="1094" t="s">
        <v>81</v>
      </c>
      <c r="F67" s="1092"/>
      <c r="G67" s="1092"/>
      <c r="H67" s="1092"/>
      <c r="I67" s="1093"/>
      <c r="J67" s="1094" t="s">
        <v>81</v>
      </c>
      <c r="K67" s="1092"/>
      <c r="L67" s="1092"/>
      <c r="M67" s="1118"/>
      <c r="N67" s="1093"/>
      <c r="O67" s="1094" t="s">
        <v>81</v>
      </c>
      <c r="P67" s="1092"/>
      <c r="Q67" s="1092"/>
      <c r="R67" s="1092"/>
      <c r="S67" s="1093"/>
      <c r="T67" s="1094" t="s">
        <v>81</v>
      </c>
      <c r="U67" s="1130"/>
      <c r="V67" s="1130"/>
      <c r="W67" s="1091"/>
      <c r="X67" s="1091"/>
      <c r="Y67" s="1091"/>
      <c r="Z67" s="1091"/>
      <c r="AA67" s="1091"/>
      <c r="AB67" s="1091"/>
      <c r="AC67" s="1091"/>
      <c r="AD67" s="1091"/>
      <c r="AE67" s="1091"/>
    </row>
    <row r="68" spans="1:31" x14ac:dyDescent="0.2">
      <c r="A68" s="1096"/>
      <c r="B68" s="1088" t="s">
        <v>845</v>
      </c>
      <c r="C68" s="1088"/>
      <c r="D68" s="1107"/>
      <c r="E68" s="1094" t="s">
        <v>81</v>
      </c>
      <c r="F68" s="1092"/>
      <c r="G68" s="1092"/>
      <c r="H68" s="1092"/>
      <c r="I68" s="1093"/>
      <c r="J68" s="1094" t="s">
        <v>81</v>
      </c>
      <c r="K68" s="1092"/>
      <c r="L68" s="1092"/>
      <c r="M68" s="1118"/>
      <c r="N68" s="1093"/>
      <c r="O68" s="1094" t="s">
        <v>81</v>
      </c>
      <c r="P68" s="1092"/>
      <c r="Q68" s="1092"/>
      <c r="R68" s="1092"/>
      <c r="S68" s="1093"/>
      <c r="T68" s="1094" t="s">
        <v>81</v>
      </c>
      <c r="U68" s="1130"/>
      <c r="V68" s="1130"/>
      <c r="W68" s="1091"/>
      <c r="X68" s="1091"/>
      <c r="Y68" s="1091"/>
      <c r="Z68" s="1091"/>
      <c r="AA68" s="1091"/>
      <c r="AB68" s="1091"/>
      <c r="AC68" s="1091"/>
      <c r="AD68" s="1091"/>
      <c r="AE68" s="1091"/>
    </row>
    <row r="69" spans="1:31" x14ac:dyDescent="0.2">
      <c r="A69" s="1096"/>
      <c r="B69" s="1088" t="s">
        <v>439</v>
      </c>
      <c r="C69" s="1088"/>
      <c r="D69" s="1107"/>
      <c r="E69" s="1094" t="s">
        <v>81</v>
      </c>
      <c r="F69" s="1092"/>
      <c r="G69" s="1092"/>
      <c r="H69" s="1092"/>
      <c r="I69" s="1093"/>
      <c r="J69" s="1094" t="s">
        <v>81</v>
      </c>
      <c r="K69" s="1092"/>
      <c r="L69" s="1092"/>
      <c r="M69" s="1118"/>
      <c r="N69" s="1093"/>
      <c r="O69" s="1094" t="s">
        <v>81</v>
      </c>
      <c r="P69" s="1092"/>
      <c r="Q69" s="1092"/>
      <c r="R69" s="1092"/>
      <c r="S69" s="1093"/>
      <c r="T69" s="1094" t="s">
        <v>81</v>
      </c>
      <c r="U69" s="1130"/>
      <c r="V69" s="1130"/>
      <c r="W69" s="1091"/>
      <c r="X69" s="1091"/>
      <c r="Y69" s="1091"/>
      <c r="Z69" s="1091"/>
      <c r="AA69" s="1091"/>
      <c r="AB69" s="1091"/>
      <c r="AC69" s="1091"/>
      <c r="AD69" s="1091"/>
      <c r="AE69" s="1091"/>
    </row>
    <row r="70" spans="1:31" x14ac:dyDescent="0.2">
      <c r="A70" s="1096"/>
      <c r="B70" s="1088" t="s">
        <v>442</v>
      </c>
      <c r="C70" s="1088"/>
      <c r="D70" s="1107"/>
      <c r="E70" s="1094" t="s">
        <v>81</v>
      </c>
      <c r="F70" s="1092"/>
      <c r="G70" s="1092"/>
      <c r="H70" s="1092"/>
      <c r="I70" s="1093"/>
      <c r="J70" s="1094" t="s">
        <v>81</v>
      </c>
      <c r="K70" s="1092"/>
      <c r="L70" s="1092"/>
      <c r="M70" s="1118"/>
      <c r="N70" s="1093"/>
      <c r="O70" s="1094" t="s">
        <v>81</v>
      </c>
      <c r="P70" s="1092"/>
      <c r="Q70" s="1092"/>
      <c r="R70" s="1092"/>
      <c r="S70" s="1093"/>
      <c r="T70" s="1094" t="s">
        <v>81</v>
      </c>
      <c r="U70" s="1130"/>
      <c r="V70" s="1130"/>
      <c r="W70" s="1091"/>
      <c r="X70" s="1091"/>
      <c r="Y70" s="1091"/>
      <c r="Z70" s="1091"/>
      <c r="AA70" s="1091"/>
      <c r="AB70" s="1091"/>
      <c r="AC70" s="1091"/>
      <c r="AD70" s="1091"/>
      <c r="AE70" s="1091"/>
    </row>
    <row r="71" spans="1:31" x14ac:dyDescent="0.2">
      <c r="A71" s="1096"/>
      <c r="B71" s="1088" t="s">
        <v>440</v>
      </c>
      <c r="C71" s="1088"/>
      <c r="D71" s="1107"/>
      <c r="E71" s="1094" t="s">
        <v>81</v>
      </c>
      <c r="F71" s="1092"/>
      <c r="G71" s="1092"/>
      <c r="H71" s="1092"/>
      <c r="I71" s="1093"/>
      <c r="J71" s="1094" t="s">
        <v>81</v>
      </c>
      <c r="K71" s="1092"/>
      <c r="L71" s="1092"/>
      <c r="M71" s="1118"/>
      <c r="N71" s="1093"/>
      <c r="O71" s="1094" t="s">
        <v>81</v>
      </c>
      <c r="P71" s="1092"/>
      <c r="Q71" s="1092"/>
      <c r="R71" s="1092"/>
      <c r="S71" s="1093"/>
      <c r="T71" s="1094" t="s">
        <v>81</v>
      </c>
      <c r="U71" s="1130"/>
      <c r="V71" s="1130"/>
      <c r="W71" s="1091"/>
      <c r="X71" s="1091"/>
      <c r="Y71" s="1091"/>
      <c r="Z71" s="1091"/>
      <c r="AA71" s="1091"/>
      <c r="AB71" s="1091"/>
      <c r="AC71" s="1091"/>
      <c r="AD71" s="1091"/>
      <c r="AE71" s="1091"/>
    </row>
    <row r="72" spans="1:31" x14ac:dyDescent="0.2">
      <c r="A72" s="1096"/>
      <c r="B72" s="1088" t="s">
        <v>44</v>
      </c>
      <c r="C72" s="1088"/>
      <c r="D72" s="1107"/>
      <c r="E72" s="1094" t="s">
        <v>81</v>
      </c>
      <c r="F72" s="1092"/>
      <c r="G72" s="1092"/>
      <c r="H72" s="1092"/>
      <c r="I72" s="1093"/>
      <c r="J72" s="1094" t="s">
        <v>81</v>
      </c>
      <c r="K72" s="1092"/>
      <c r="L72" s="1092"/>
      <c r="M72" s="1118"/>
      <c r="N72" s="1093"/>
      <c r="O72" s="1094" t="s">
        <v>81</v>
      </c>
      <c r="P72" s="1092"/>
      <c r="Q72" s="1092"/>
      <c r="R72" s="1092"/>
      <c r="S72" s="1093"/>
      <c r="T72" s="1094" t="s">
        <v>81</v>
      </c>
      <c r="U72" s="1130"/>
      <c r="V72" s="1130"/>
      <c r="W72" s="1091"/>
      <c r="X72" s="1091"/>
      <c r="Y72" s="1091"/>
      <c r="Z72" s="1091"/>
      <c r="AA72" s="1091"/>
      <c r="AB72" s="1091"/>
      <c r="AC72" s="1091"/>
      <c r="AD72" s="1091"/>
      <c r="AE72" s="1091"/>
    </row>
    <row r="73" spans="1:31" x14ac:dyDescent="0.2">
      <c r="A73" s="1096"/>
      <c r="B73" s="1088" t="s">
        <v>43</v>
      </c>
      <c r="C73" s="1088"/>
      <c r="D73" s="1107"/>
      <c r="E73" s="1094" t="s">
        <v>81</v>
      </c>
      <c r="F73" s="1092"/>
      <c r="G73" s="1092"/>
      <c r="H73" s="1092"/>
      <c r="I73" s="1093"/>
      <c r="J73" s="1094" t="s">
        <v>81</v>
      </c>
      <c r="K73" s="1092"/>
      <c r="L73" s="1092"/>
      <c r="M73" s="1118"/>
      <c r="N73" s="1093"/>
      <c r="O73" s="1094" t="s">
        <v>81</v>
      </c>
      <c r="P73" s="1092"/>
      <c r="Q73" s="1092"/>
      <c r="R73" s="1092"/>
      <c r="S73" s="1093"/>
      <c r="T73" s="1094" t="s">
        <v>81</v>
      </c>
      <c r="U73" s="1130"/>
      <c r="V73" s="1130"/>
      <c r="W73" s="1091"/>
      <c r="X73" s="1091"/>
      <c r="Y73" s="1091"/>
      <c r="Z73" s="1091"/>
      <c r="AA73" s="1091"/>
      <c r="AB73" s="1091"/>
      <c r="AC73" s="1091"/>
      <c r="AD73" s="1091"/>
      <c r="AE73" s="1091"/>
    </row>
    <row r="74" spans="1:31" x14ac:dyDescent="0.2">
      <c r="A74" s="1096"/>
      <c r="B74" s="1088" t="s">
        <v>47</v>
      </c>
      <c r="C74" s="1088"/>
      <c r="D74" s="1107"/>
      <c r="E74" s="1094" t="s">
        <v>81</v>
      </c>
      <c r="F74" s="1092"/>
      <c r="G74" s="1092"/>
      <c r="H74" s="1092"/>
      <c r="I74" s="1093"/>
      <c r="J74" s="1094" t="s">
        <v>81</v>
      </c>
      <c r="K74" s="1092"/>
      <c r="L74" s="1092"/>
      <c r="M74" s="1118"/>
      <c r="N74" s="1093"/>
      <c r="O74" s="1094" t="s">
        <v>81</v>
      </c>
      <c r="P74" s="1092"/>
      <c r="Q74" s="1092"/>
      <c r="R74" s="1092"/>
      <c r="S74" s="1093"/>
      <c r="T74" s="1094" t="s">
        <v>81</v>
      </c>
      <c r="U74" s="1130"/>
      <c r="V74" s="1130"/>
      <c r="W74" s="1091"/>
      <c r="X74" s="1091"/>
      <c r="Y74" s="1091"/>
      <c r="Z74" s="1091"/>
      <c r="AA74" s="1091"/>
      <c r="AB74" s="1091"/>
      <c r="AC74" s="1091"/>
      <c r="AD74" s="1091"/>
      <c r="AE74" s="1091"/>
    </row>
    <row r="75" spans="1:31" x14ac:dyDescent="0.2">
      <c r="A75" s="1096"/>
      <c r="B75" s="1088" t="s">
        <v>441</v>
      </c>
      <c r="C75" s="1088"/>
      <c r="D75" s="1107"/>
      <c r="E75" s="1094" t="s">
        <v>81</v>
      </c>
      <c r="F75" s="1092"/>
      <c r="G75" s="1092"/>
      <c r="H75" s="1092"/>
      <c r="I75" s="1093"/>
      <c r="J75" s="1094" t="s">
        <v>81</v>
      </c>
      <c r="K75" s="1092"/>
      <c r="L75" s="1092"/>
      <c r="M75" s="1118"/>
      <c r="N75" s="1093"/>
      <c r="O75" s="1094" t="s">
        <v>81</v>
      </c>
      <c r="P75" s="1092"/>
      <c r="Q75" s="1092"/>
      <c r="R75" s="1092"/>
      <c r="S75" s="1093"/>
      <c r="T75" s="1094" t="s">
        <v>81</v>
      </c>
      <c r="U75" s="1130"/>
      <c r="V75" s="1130"/>
      <c r="W75" s="1091"/>
      <c r="X75" s="1091"/>
      <c r="Y75" s="1091"/>
      <c r="Z75" s="1091"/>
      <c r="AA75" s="1091"/>
      <c r="AB75" s="1091"/>
      <c r="AC75" s="1091"/>
      <c r="AD75" s="1091"/>
      <c r="AE75" s="1091"/>
    </row>
    <row r="76" spans="1:31" x14ac:dyDescent="0.2">
      <c r="A76" s="1096"/>
      <c r="B76" s="1088" t="s">
        <v>39</v>
      </c>
      <c r="C76" s="1088"/>
      <c r="D76" s="1107"/>
      <c r="E76" s="1094" t="s">
        <v>81</v>
      </c>
      <c r="F76" s="1092"/>
      <c r="G76" s="1092"/>
      <c r="H76" s="1092"/>
      <c r="I76" s="1093"/>
      <c r="J76" s="1094" t="s">
        <v>81</v>
      </c>
      <c r="K76" s="1092"/>
      <c r="L76" s="1092"/>
      <c r="M76" s="1118"/>
      <c r="N76" s="1093"/>
      <c r="O76" s="1094" t="s">
        <v>81</v>
      </c>
      <c r="P76" s="1092"/>
      <c r="Q76" s="1092"/>
      <c r="R76" s="1092"/>
      <c r="S76" s="1093"/>
      <c r="T76" s="1094" t="s">
        <v>81</v>
      </c>
      <c r="U76" s="1130"/>
      <c r="V76" s="1130"/>
      <c r="W76" s="1091"/>
      <c r="X76" s="1091"/>
      <c r="Y76" s="1091"/>
      <c r="Z76" s="1091"/>
      <c r="AA76" s="1091"/>
      <c r="AB76" s="1091"/>
      <c r="AC76" s="1091"/>
      <c r="AD76" s="1091"/>
      <c r="AE76" s="1091"/>
    </row>
    <row r="77" spans="1:31" x14ac:dyDescent="0.2">
      <c r="A77" s="1096"/>
      <c r="B77" s="1094" t="s">
        <v>200</v>
      </c>
      <c r="C77" s="1094"/>
      <c r="D77" s="1107"/>
      <c r="E77" s="1094" t="s">
        <v>81</v>
      </c>
      <c r="F77" s="1092"/>
      <c r="G77" s="1092"/>
      <c r="H77" s="1092"/>
      <c r="I77" s="1093"/>
      <c r="J77" s="1094" t="s">
        <v>81</v>
      </c>
      <c r="K77" s="1092"/>
      <c r="L77" s="1092"/>
      <c r="M77" s="1118"/>
      <c r="N77" s="1093"/>
      <c r="O77" s="1094" t="s">
        <v>81</v>
      </c>
      <c r="P77" s="1092"/>
      <c r="Q77" s="1092"/>
      <c r="R77" s="1092"/>
      <c r="S77" s="1093"/>
      <c r="T77" s="1094" t="s">
        <v>81</v>
      </c>
      <c r="U77" s="1130"/>
      <c r="V77" s="1130"/>
      <c r="W77" s="1091"/>
      <c r="X77" s="1091"/>
      <c r="Y77" s="1091"/>
      <c r="Z77" s="1091"/>
      <c r="AA77" s="1091"/>
      <c r="AB77" s="1091"/>
      <c r="AC77" s="1091"/>
      <c r="AD77" s="1091"/>
      <c r="AE77" s="1091"/>
    </row>
    <row r="78" spans="1:31" x14ac:dyDescent="0.2">
      <c r="A78" s="1096"/>
      <c r="B78" s="1088" t="s">
        <v>418</v>
      </c>
      <c r="C78" s="1088"/>
      <c r="D78" s="1107"/>
      <c r="E78" s="1094" t="s">
        <v>81</v>
      </c>
      <c r="F78" s="1092"/>
      <c r="G78" s="1092"/>
      <c r="H78" s="1092"/>
      <c r="I78" s="1093"/>
      <c r="J78" s="1094" t="s">
        <v>81</v>
      </c>
      <c r="K78" s="1092"/>
      <c r="L78" s="1092"/>
      <c r="M78" s="1118"/>
      <c r="N78" s="1093"/>
      <c r="O78" s="1094" t="s">
        <v>81</v>
      </c>
      <c r="P78" s="1092"/>
      <c r="Q78" s="1092"/>
      <c r="R78" s="1092"/>
      <c r="S78" s="1093"/>
      <c r="T78" s="1094" t="s">
        <v>81</v>
      </c>
      <c r="U78" s="1130"/>
      <c r="V78" s="1130"/>
      <c r="W78" s="1091"/>
      <c r="X78" s="1091"/>
      <c r="Y78" s="1091"/>
      <c r="Z78" s="1091"/>
      <c r="AA78" s="1091"/>
      <c r="AB78" s="1091"/>
      <c r="AC78" s="1091"/>
      <c r="AD78" s="1091"/>
      <c r="AE78" s="1091"/>
    </row>
    <row r="79" spans="1:31" ht="13.5" thickBot="1" x14ac:dyDescent="0.25">
      <c r="A79" s="1096"/>
      <c r="B79" s="1088" t="s">
        <v>486</v>
      </c>
      <c r="C79" s="1088"/>
      <c r="D79" s="1107"/>
      <c r="E79" s="1094" t="s">
        <v>81</v>
      </c>
      <c r="F79" s="1092"/>
      <c r="G79" s="1092"/>
      <c r="H79" s="1092"/>
      <c r="I79" s="1093"/>
      <c r="J79" s="1094" t="s">
        <v>81</v>
      </c>
      <c r="K79" s="1092"/>
      <c r="L79" s="1092"/>
      <c r="M79" s="1118"/>
      <c r="N79" s="1093"/>
      <c r="O79" s="1094" t="s">
        <v>81</v>
      </c>
      <c r="P79" s="1092"/>
      <c r="Q79" s="1092"/>
      <c r="R79" s="1092"/>
      <c r="S79" s="1093"/>
      <c r="T79" s="1094" t="s">
        <v>81</v>
      </c>
      <c r="U79" s="1130"/>
      <c r="V79" s="1130"/>
      <c r="W79" s="1091"/>
      <c r="X79" s="1091"/>
      <c r="Y79" s="1091"/>
      <c r="Z79" s="1091"/>
      <c r="AA79" s="1091"/>
      <c r="AB79" s="1091"/>
      <c r="AC79" s="1091"/>
      <c r="AD79" s="1091"/>
      <c r="AE79" s="1091"/>
    </row>
    <row r="80" spans="1:31" ht="13.5" thickBot="1" x14ac:dyDescent="0.25">
      <c r="A80" s="1098"/>
      <c r="B80" s="1102" t="s">
        <v>758</v>
      </c>
      <c r="C80" s="1103"/>
      <c r="D80" s="1106"/>
      <c r="E80" s="1117"/>
      <c r="F80" s="1103"/>
      <c r="G80" s="1103"/>
      <c r="H80" s="1103"/>
      <c r="I80" s="1106"/>
      <c r="J80" s="1117"/>
      <c r="K80" s="1103"/>
      <c r="L80" s="1103"/>
      <c r="M80" s="1117"/>
      <c r="N80" s="1106"/>
      <c r="O80" s="1117"/>
      <c r="P80" s="1103"/>
      <c r="Q80" s="1103"/>
      <c r="R80" s="1103"/>
      <c r="S80" s="1106"/>
      <c r="T80" s="1117"/>
      <c r="U80" s="1103"/>
      <c r="V80" s="1104"/>
      <c r="W80" s="1091"/>
      <c r="X80" s="1091"/>
      <c r="Y80" s="1091"/>
      <c r="Z80" s="1091"/>
      <c r="AA80" s="1091"/>
      <c r="AB80" s="1091"/>
      <c r="AC80" s="1091"/>
      <c r="AD80" s="1091"/>
      <c r="AE80" s="1091"/>
    </row>
    <row r="81" spans="1:31" x14ac:dyDescent="0.2">
      <c r="A81" s="1096"/>
      <c r="B81" s="1092" t="s">
        <v>745</v>
      </c>
      <c r="C81" s="1092"/>
      <c r="D81" s="1093"/>
      <c r="E81" s="1094" t="s">
        <v>826</v>
      </c>
      <c r="F81" s="1092"/>
      <c r="G81" s="1092"/>
      <c r="H81" s="1092"/>
      <c r="I81" s="1093"/>
      <c r="J81" s="1094" t="s">
        <v>826</v>
      </c>
      <c r="K81" s="1092"/>
      <c r="L81" s="1092"/>
      <c r="M81" s="1118"/>
      <c r="N81" s="1093"/>
      <c r="O81" s="1094" t="s">
        <v>826</v>
      </c>
      <c r="P81" s="1092"/>
      <c r="Q81" s="1092"/>
      <c r="R81" s="1092"/>
      <c r="S81" s="1093"/>
      <c r="T81" s="1094" t="s">
        <v>826</v>
      </c>
      <c r="U81" s="1130"/>
      <c r="V81" s="1130"/>
      <c r="W81" s="1091"/>
      <c r="X81" s="1091"/>
      <c r="Y81" s="1091"/>
      <c r="Z81" s="1091"/>
      <c r="AA81" s="1091"/>
      <c r="AB81" s="1091"/>
      <c r="AC81" s="1091"/>
      <c r="AD81" s="1091"/>
      <c r="AE81" s="1091"/>
    </row>
    <row r="82" spans="1:31" x14ac:dyDescent="0.2">
      <c r="A82" s="1096"/>
      <c r="B82" s="1092" t="s">
        <v>746</v>
      </c>
      <c r="C82" s="1092"/>
      <c r="D82" s="1093"/>
      <c r="E82" s="1094" t="s">
        <v>826</v>
      </c>
      <c r="F82" s="1092"/>
      <c r="G82" s="1092"/>
      <c r="H82" s="1092"/>
      <c r="I82" s="1093"/>
      <c r="J82" s="1094" t="s">
        <v>826</v>
      </c>
      <c r="K82" s="1092"/>
      <c r="L82" s="1092"/>
      <c r="M82" s="1118"/>
      <c r="N82" s="1093"/>
      <c r="O82" s="1094" t="s">
        <v>826</v>
      </c>
      <c r="P82" s="1092"/>
      <c r="Q82" s="1092"/>
      <c r="R82" s="1092"/>
      <c r="S82" s="1093"/>
      <c r="T82" s="1094" t="s">
        <v>826</v>
      </c>
      <c r="U82" s="1130"/>
      <c r="V82" s="1130"/>
      <c r="W82" s="1091"/>
      <c r="X82" s="1091"/>
      <c r="Y82" s="1091"/>
      <c r="Z82" s="1091"/>
      <c r="AA82" s="1091"/>
      <c r="AB82" s="1091"/>
      <c r="AC82" s="1091"/>
      <c r="AD82" s="1091"/>
      <c r="AE82" s="1091"/>
    </row>
    <row r="83" spans="1:31" ht="13.5" thickBot="1" x14ac:dyDescent="0.25">
      <c r="A83" s="1096"/>
      <c r="B83" s="1092" t="s">
        <v>747</v>
      </c>
      <c r="C83" s="1092"/>
      <c r="D83" s="1093"/>
      <c r="E83" s="1094" t="s">
        <v>826</v>
      </c>
      <c r="F83" s="1092"/>
      <c r="G83" s="1092"/>
      <c r="H83" s="1092"/>
      <c r="I83" s="1093"/>
      <c r="J83" s="1094" t="s">
        <v>826</v>
      </c>
      <c r="K83" s="1092"/>
      <c r="L83" s="1092"/>
      <c r="M83" s="1118"/>
      <c r="N83" s="1093"/>
      <c r="O83" s="1094" t="s">
        <v>826</v>
      </c>
      <c r="P83" s="1092"/>
      <c r="Q83" s="1092"/>
      <c r="R83" s="1092"/>
      <c r="S83" s="1093"/>
      <c r="T83" s="1094" t="s">
        <v>826</v>
      </c>
      <c r="U83" s="1130"/>
      <c r="V83" s="1130"/>
      <c r="W83" s="1091"/>
      <c r="X83" s="1091"/>
      <c r="Y83" s="1091"/>
      <c r="Z83" s="1091"/>
      <c r="AA83" s="1091"/>
      <c r="AB83" s="1091"/>
      <c r="AC83" s="1091"/>
      <c r="AD83" s="1091"/>
      <c r="AE83" s="1091"/>
    </row>
    <row r="84" spans="1:31" ht="13.5" thickBot="1" x14ac:dyDescent="0.25">
      <c r="A84" s="1098"/>
      <c r="B84" s="1102" t="s">
        <v>759</v>
      </c>
      <c r="C84" s="1103"/>
      <c r="D84" s="1106"/>
      <c r="E84" s="1117"/>
      <c r="F84" s="1103"/>
      <c r="G84" s="1103"/>
      <c r="H84" s="1103"/>
      <c r="I84" s="1106"/>
      <c r="J84" s="1117"/>
      <c r="K84" s="1103"/>
      <c r="L84" s="1103"/>
      <c r="M84" s="1117"/>
      <c r="N84" s="1106"/>
      <c r="O84" s="1117"/>
      <c r="P84" s="1103"/>
      <c r="Q84" s="1103"/>
      <c r="R84" s="1103"/>
      <c r="S84" s="1106"/>
      <c r="T84" s="1117"/>
      <c r="U84" s="1103"/>
      <c r="V84" s="1104"/>
      <c r="W84" s="1091"/>
      <c r="X84" s="1091"/>
      <c r="Y84" s="1091"/>
      <c r="Z84" s="1091"/>
      <c r="AA84" s="1091"/>
      <c r="AB84" s="1091"/>
      <c r="AC84" s="1091"/>
      <c r="AD84" s="1091"/>
      <c r="AE84" s="1091"/>
    </row>
    <row r="85" spans="1:31" x14ac:dyDescent="0.2">
      <c r="A85" s="1096"/>
      <c r="B85" s="1092" t="s">
        <v>748</v>
      </c>
      <c r="C85" s="1092"/>
      <c r="D85" s="1093"/>
      <c r="E85" s="1094" t="s">
        <v>826</v>
      </c>
      <c r="F85" s="1092"/>
      <c r="G85" s="1092"/>
      <c r="H85" s="1092"/>
      <c r="I85" s="1093"/>
      <c r="J85" s="1094" t="s">
        <v>826</v>
      </c>
      <c r="K85" s="1092"/>
      <c r="L85" s="1092"/>
      <c r="M85" s="1118"/>
      <c r="N85" s="1093"/>
      <c r="O85" s="1094" t="s">
        <v>826</v>
      </c>
      <c r="P85" s="1092"/>
      <c r="Q85" s="1092"/>
      <c r="R85" s="1092"/>
      <c r="S85" s="1093"/>
      <c r="T85" s="1094" t="s">
        <v>826</v>
      </c>
      <c r="U85" s="1130"/>
      <c r="V85" s="1130"/>
      <c r="W85" s="1091"/>
      <c r="X85" s="1091"/>
      <c r="Y85" s="1091"/>
      <c r="Z85" s="1091"/>
      <c r="AA85" s="1091"/>
      <c r="AB85" s="1091"/>
      <c r="AC85" s="1091"/>
      <c r="AD85" s="1091"/>
      <c r="AE85" s="1091"/>
    </row>
    <row r="86" spans="1:31" x14ac:dyDescent="0.2">
      <c r="A86" s="1096"/>
      <c r="B86" s="1092" t="s">
        <v>749</v>
      </c>
      <c r="C86" s="1092"/>
      <c r="D86" s="1093"/>
      <c r="E86" s="1094" t="s">
        <v>826</v>
      </c>
      <c r="F86" s="1092"/>
      <c r="G86" s="1092"/>
      <c r="H86" s="1092"/>
      <c r="I86" s="1093"/>
      <c r="J86" s="1094" t="s">
        <v>826</v>
      </c>
      <c r="K86" s="1092"/>
      <c r="L86" s="1092"/>
      <c r="M86" s="1118"/>
      <c r="N86" s="1093"/>
      <c r="O86" s="1094" t="s">
        <v>826</v>
      </c>
      <c r="P86" s="1092"/>
      <c r="Q86" s="1092"/>
      <c r="R86" s="1092"/>
      <c r="S86" s="1093"/>
      <c r="T86" s="1094" t="s">
        <v>826</v>
      </c>
      <c r="U86" s="1130"/>
      <c r="V86" s="1130"/>
      <c r="W86" s="1091"/>
      <c r="X86" s="1091"/>
      <c r="Y86" s="1091"/>
      <c r="Z86" s="1091"/>
      <c r="AA86" s="1091"/>
      <c r="AB86" s="1091"/>
      <c r="AC86" s="1091"/>
      <c r="AD86" s="1091"/>
      <c r="AE86" s="1091"/>
    </row>
    <row r="87" spans="1:31" ht="13.5" thickBot="1" x14ac:dyDescent="0.25">
      <c r="A87" s="1096"/>
      <c r="B87" s="1092" t="s">
        <v>750</v>
      </c>
      <c r="C87" s="1092"/>
      <c r="D87" s="1093"/>
      <c r="E87" s="1094" t="s">
        <v>826</v>
      </c>
      <c r="F87" s="1092"/>
      <c r="G87" s="1092"/>
      <c r="H87" s="1092"/>
      <c r="I87" s="1093"/>
      <c r="J87" s="1094" t="s">
        <v>826</v>
      </c>
      <c r="K87" s="1092"/>
      <c r="L87" s="1092"/>
      <c r="M87" s="1118"/>
      <c r="N87" s="1093"/>
      <c r="O87" s="1094" t="s">
        <v>826</v>
      </c>
      <c r="P87" s="1092"/>
      <c r="Q87" s="1092"/>
      <c r="R87" s="1092"/>
      <c r="S87" s="1093"/>
      <c r="T87" s="1094" t="s">
        <v>826</v>
      </c>
      <c r="U87" s="1130"/>
      <c r="V87" s="1130"/>
      <c r="W87" s="1091"/>
      <c r="X87" s="1091"/>
      <c r="Y87" s="1091"/>
      <c r="Z87" s="1091"/>
      <c r="AA87" s="1091"/>
      <c r="AB87" s="1091"/>
      <c r="AC87" s="1091"/>
      <c r="AD87" s="1091"/>
      <c r="AE87" s="1091"/>
    </row>
    <row r="88" spans="1:31" ht="13.5" thickBot="1" x14ac:dyDescent="0.25">
      <c r="A88" s="1098"/>
      <c r="B88" s="1102" t="s">
        <v>760</v>
      </c>
      <c r="C88" s="1103"/>
      <c r="D88" s="1106"/>
      <c r="E88" s="1117"/>
      <c r="F88" s="1103"/>
      <c r="G88" s="1103"/>
      <c r="H88" s="1103"/>
      <c r="I88" s="1106"/>
      <c r="J88" s="1117"/>
      <c r="K88" s="1103"/>
      <c r="L88" s="1103"/>
      <c r="M88" s="1117"/>
      <c r="N88" s="1106"/>
      <c r="O88" s="1117"/>
      <c r="P88" s="1103"/>
      <c r="Q88" s="1103"/>
      <c r="R88" s="1103"/>
      <c r="S88" s="1106"/>
      <c r="T88" s="1117"/>
      <c r="U88" s="1103"/>
      <c r="V88" s="1104"/>
      <c r="W88" s="1091"/>
      <c r="X88" s="1091"/>
      <c r="Y88" s="1091"/>
      <c r="Z88" s="1091"/>
      <c r="AA88" s="1091"/>
      <c r="AB88" s="1091"/>
      <c r="AC88" s="1091"/>
      <c r="AD88" s="1091"/>
      <c r="AE88" s="1091"/>
    </row>
    <row r="89" spans="1:31" x14ac:dyDescent="0.2">
      <c r="A89" s="1096"/>
      <c r="B89" s="1092" t="s">
        <v>751</v>
      </c>
      <c r="C89" s="1092"/>
      <c r="D89" s="1093"/>
      <c r="E89" s="1094" t="s">
        <v>826</v>
      </c>
      <c r="F89" s="1092"/>
      <c r="G89" s="1092"/>
      <c r="H89" s="1092"/>
      <c r="I89" s="1093"/>
      <c r="J89" s="1094" t="s">
        <v>826</v>
      </c>
      <c r="K89" s="1092"/>
      <c r="L89" s="1092"/>
      <c r="M89" s="1118"/>
      <c r="N89" s="1093"/>
      <c r="O89" s="1094" t="s">
        <v>826</v>
      </c>
      <c r="P89" s="1092"/>
      <c r="Q89" s="1092"/>
      <c r="R89" s="1092"/>
      <c r="S89" s="1093"/>
      <c r="T89" s="1094" t="s">
        <v>826</v>
      </c>
      <c r="U89" s="1130"/>
      <c r="V89" s="1130"/>
      <c r="W89" s="1091"/>
      <c r="X89" s="1091"/>
      <c r="Y89" s="1091"/>
      <c r="Z89" s="1091"/>
      <c r="AA89" s="1091"/>
      <c r="AB89" s="1091"/>
      <c r="AC89" s="1091"/>
      <c r="AD89" s="1091"/>
      <c r="AE89" s="1091"/>
    </row>
    <row r="90" spans="1:31" x14ac:dyDescent="0.2">
      <c r="A90" s="1096"/>
      <c r="B90" s="1092" t="s">
        <v>752</v>
      </c>
      <c r="C90" s="1092"/>
      <c r="D90" s="1093"/>
      <c r="E90" s="1094" t="s">
        <v>826</v>
      </c>
      <c r="F90" s="1092"/>
      <c r="G90" s="1092"/>
      <c r="H90" s="1092"/>
      <c r="I90" s="1093"/>
      <c r="J90" s="1094" t="s">
        <v>826</v>
      </c>
      <c r="K90" s="1092"/>
      <c r="L90" s="1092"/>
      <c r="M90" s="1118"/>
      <c r="N90" s="1093"/>
      <c r="O90" s="1094" t="s">
        <v>826</v>
      </c>
      <c r="P90" s="1092"/>
      <c r="Q90" s="1092"/>
      <c r="R90" s="1092"/>
      <c r="S90" s="1093"/>
      <c r="T90" s="1094" t="s">
        <v>826</v>
      </c>
      <c r="U90" s="1130"/>
      <c r="V90" s="1130"/>
      <c r="W90" s="1091"/>
      <c r="X90" s="1091"/>
      <c r="Y90" s="1091"/>
      <c r="Z90" s="1091"/>
      <c r="AA90" s="1091"/>
      <c r="AB90" s="1091"/>
      <c r="AC90" s="1091"/>
      <c r="AD90" s="1091"/>
      <c r="AE90" s="1091"/>
    </row>
    <row r="91" spans="1:31" x14ac:dyDescent="0.2">
      <c r="A91" s="1097"/>
      <c r="B91" s="1092" t="s">
        <v>753</v>
      </c>
      <c r="C91" s="1092"/>
      <c r="D91" s="1093"/>
      <c r="E91" s="1094" t="s">
        <v>826</v>
      </c>
      <c r="F91" s="1092"/>
      <c r="G91" s="1092"/>
      <c r="H91" s="1092"/>
      <c r="I91" s="1093"/>
      <c r="J91" s="1094" t="s">
        <v>826</v>
      </c>
      <c r="K91" s="1092"/>
      <c r="L91" s="1092"/>
      <c r="M91" s="1118"/>
      <c r="N91" s="1093"/>
      <c r="O91" s="1094" t="s">
        <v>826</v>
      </c>
      <c r="P91" s="1092"/>
      <c r="Q91" s="1092"/>
      <c r="R91" s="1092"/>
      <c r="S91" s="1093"/>
      <c r="T91" s="1094" t="s">
        <v>826</v>
      </c>
      <c r="U91" s="1130"/>
      <c r="V91" s="1130"/>
      <c r="W91" s="1091"/>
      <c r="X91" s="1091"/>
      <c r="Y91" s="1091"/>
      <c r="Z91" s="1091"/>
      <c r="AA91" s="1091"/>
      <c r="AB91" s="1091"/>
      <c r="AC91" s="1091"/>
      <c r="AD91" s="1091"/>
      <c r="AE91" s="1091"/>
    </row>
    <row r="92" spans="1:31" x14ac:dyDescent="0.2">
      <c r="B92" s="1091"/>
      <c r="C92" s="1091"/>
      <c r="D92" s="1112"/>
      <c r="E92" s="1119"/>
      <c r="F92" s="1091"/>
      <c r="G92" s="1091"/>
      <c r="H92" s="1091"/>
      <c r="I92" s="1091"/>
      <c r="J92" s="1119"/>
      <c r="K92" s="1091"/>
      <c r="L92" s="1091"/>
      <c r="M92" s="1119"/>
      <c r="N92" s="1112"/>
      <c r="O92" s="1119"/>
      <c r="P92" s="1091"/>
      <c r="Q92" s="1091"/>
      <c r="R92" s="1091"/>
      <c r="S92" s="1112"/>
      <c r="T92" s="1119"/>
      <c r="U92" s="1091"/>
      <c r="V92" s="1091"/>
      <c r="W92" s="1091"/>
      <c r="X92" s="1091"/>
      <c r="Y92" s="1091"/>
      <c r="Z92" s="1091"/>
      <c r="AA92" s="1091"/>
      <c r="AB92" s="1091"/>
      <c r="AC92" s="1091"/>
      <c r="AD92" s="1091"/>
      <c r="AE92" s="1091"/>
    </row>
    <row r="93" spans="1:31" x14ac:dyDescent="0.2">
      <c r="B93" s="1091"/>
      <c r="C93" s="1091"/>
      <c r="D93" s="1112"/>
      <c r="E93" s="1119"/>
      <c r="F93" s="1091"/>
      <c r="G93" s="1091"/>
      <c r="H93" s="1091"/>
      <c r="I93" s="1091"/>
      <c r="J93" s="1119"/>
      <c r="K93" s="1091"/>
      <c r="L93" s="1091"/>
      <c r="M93" s="1119"/>
      <c r="N93" s="1112"/>
      <c r="O93" s="1119"/>
      <c r="P93" s="1091"/>
      <c r="Q93" s="1091"/>
      <c r="R93" s="1091"/>
      <c r="S93" s="1112"/>
      <c r="T93" s="1119"/>
      <c r="U93" s="1091"/>
      <c r="V93" s="1091"/>
      <c r="W93" s="1091"/>
      <c r="X93" s="1091"/>
      <c r="Y93" s="1091"/>
      <c r="Z93" s="1091"/>
      <c r="AA93" s="1091"/>
      <c r="AB93" s="1091"/>
      <c r="AC93" s="1091"/>
      <c r="AD93" s="1091"/>
      <c r="AE93" s="1091"/>
    </row>
    <row r="94" spans="1:31" x14ac:dyDescent="0.2">
      <c r="B94" s="1091"/>
      <c r="C94" s="1091"/>
      <c r="D94" s="1112"/>
      <c r="E94" s="1119"/>
      <c r="F94" s="1091"/>
      <c r="G94" s="1091"/>
      <c r="H94" s="1091"/>
      <c r="I94" s="1091"/>
      <c r="J94" s="1119"/>
      <c r="K94" s="1091"/>
      <c r="L94" s="1091"/>
      <c r="M94" s="1119"/>
      <c r="N94" s="1112"/>
      <c r="O94" s="1119"/>
      <c r="P94" s="1091"/>
      <c r="Q94" s="1091"/>
      <c r="R94" s="1091"/>
      <c r="S94" s="1112"/>
      <c r="T94" s="1119"/>
      <c r="U94" s="1091"/>
      <c r="V94" s="1091"/>
      <c r="W94" s="1091"/>
      <c r="X94" s="1091"/>
      <c r="Y94" s="1091"/>
      <c r="Z94" s="1091"/>
      <c r="AA94" s="1091"/>
      <c r="AB94" s="1091"/>
      <c r="AC94" s="1091"/>
      <c r="AD94" s="1091"/>
      <c r="AE94" s="1091"/>
    </row>
    <row r="95" spans="1:31" x14ac:dyDescent="0.2">
      <c r="B95" s="1091"/>
      <c r="C95" s="1091"/>
      <c r="D95" s="1112"/>
      <c r="E95" s="1119"/>
      <c r="F95" s="1091"/>
      <c r="G95" s="1091"/>
      <c r="H95" s="1091"/>
      <c r="I95" s="1091"/>
      <c r="J95" s="1119"/>
      <c r="K95" s="1091"/>
      <c r="L95" s="1091"/>
      <c r="M95" s="1119"/>
      <c r="N95" s="1112"/>
      <c r="O95" s="1119"/>
      <c r="P95" s="1091"/>
      <c r="Q95" s="1091"/>
      <c r="R95" s="1091"/>
      <c r="S95" s="1112"/>
      <c r="T95" s="1119"/>
      <c r="U95" s="1091"/>
      <c r="V95" s="1091"/>
      <c r="W95" s="1091"/>
      <c r="X95" s="1091"/>
      <c r="Y95" s="1091"/>
      <c r="Z95" s="1091"/>
      <c r="AA95" s="1091"/>
      <c r="AB95" s="1091"/>
      <c r="AC95" s="1091"/>
      <c r="AD95" s="1091"/>
      <c r="AE95" s="1091"/>
    </row>
    <row r="96" spans="1:31" x14ac:dyDescent="0.2">
      <c r="B96" s="1091"/>
      <c r="C96" s="1091"/>
      <c r="D96" s="1112"/>
      <c r="E96" s="1119"/>
      <c r="F96" s="1091"/>
      <c r="G96" s="1091"/>
      <c r="H96" s="1091"/>
      <c r="I96" s="1091"/>
      <c r="J96" s="1119"/>
      <c r="K96" s="1091"/>
      <c r="L96" s="1091"/>
      <c r="M96" s="1119"/>
      <c r="N96" s="1112"/>
      <c r="O96" s="1119"/>
      <c r="P96" s="1091"/>
      <c r="Q96" s="1091"/>
      <c r="R96" s="1091"/>
      <c r="S96" s="1112"/>
      <c r="T96" s="1119"/>
      <c r="U96" s="1091"/>
      <c r="V96" s="1091"/>
      <c r="W96" s="1091"/>
      <c r="X96" s="1091"/>
      <c r="Y96" s="1091"/>
      <c r="Z96" s="1091"/>
      <c r="AA96" s="1091"/>
      <c r="AB96" s="1091"/>
      <c r="AC96" s="1091"/>
      <c r="AD96" s="1091"/>
      <c r="AE96" s="1091"/>
    </row>
    <row r="97" spans="2:31" x14ac:dyDescent="0.2">
      <c r="B97" s="1091"/>
      <c r="C97" s="1091"/>
      <c r="D97" s="1112"/>
      <c r="E97" s="1119"/>
      <c r="F97" s="1091"/>
      <c r="G97" s="1091"/>
      <c r="H97" s="1091"/>
      <c r="I97" s="1091"/>
      <c r="J97" s="1119"/>
      <c r="K97" s="1091"/>
      <c r="L97" s="1091"/>
      <c r="M97" s="1119"/>
      <c r="N97" s="1112"/>
      <c r="O97" s="1119"/>
      <c r="P97" s="1091"/>
      <c r="Q97" s="1091"/>
      <c r="R97" s="1091"/>
      <c r="S97" s="1112"/>
      <c r="T97" s="1119"/>
      <c r="U97" s="1091"/>
      <c r="V97" s="1091"/>
      <c r="W97" s="1091"/>
      <c r="X97" s="1091"/>
      <c r="Y97" s="1091"/>
      <c r="Z97" s="1091"/>
      <c r="AA97" s="1091"/>
      <c r="AB97" s="1091"/>
      <c r="AC97" s="1091"/>
      <c r="AD97" s="1091"/>
      <c r="AE97" s="1091"/>
    </row>
    <row r="98" spans="2:31" x14ac:dyDescent="0.2">
      <c r="B98" s="1091"/>
      <c r="C98" s="1091"/>
      <c r="D98" s="1112"/>
      <c r="E98" s="1119"/>
      <c r="F98" s="1091"/>
      <c r="G98" s="1091"/>
      <c r="H98" s="1091"/>
      <c r="I98" s="1091"/>
      <c r="J98" s="1119"/>
      <c r="K98" s="1091"/>
      <c r="L98" s="1091"/>
      <c r="M98" s="1119"/>
      <c r="N98" s="1112"/>
      <c r="O98" s="1119"/>
      <c r="P98" s="1091"/>
      <c r="Q98" s="1091"/>
      <c r="R98" s="1091"/>
      <c r="S98" s="1112"/>
      <c r="T98" s="1119"/>
      <c r="U98" s="1091"/>
      <c r="V98" s="1091"/>
      <c r="W98" s="1091"/>
      <c r="X98" s="1091"/>
      <c r="Y98" s="1091"/>
      <c r="Z98" s="1091"/>
      <c r="AA98" s="1091"/>
      <c r="AB98" s="1091"/>
      <c r="AC98" s="1091"/>
      <c r="AD98" s="1091"/>
      <c r="AE98" s="1091"/>
    </row>
    <row r="99" spans="2:31" x14ac:dyDescent="0.2">
      <c r="B99" s="1091"/>
      <c r="C99" s="1091"/>
      <c r="D99" s="1112"/>
      <c r="E99" s="1119"/>
      <c r="F99" s="1091"/>
      <c r="G99" s="1091"/>
      <c r="H99" s="1091"/>
      <c r="I99" s="1091"/>
      <c r="J99" s="1119"/>
      <c r="K99" s="1091"/>
      <c r="L99" s="1091"/>
      <c r="M99" s="1119"/>
      <c r="N99" s="1112"/>
      <c r="O99" s="1119"/>
      <c r="P99" s="1091"/>
      <c r="Q99" s="1091"/>
      <c r="R99" s="1091"/>
      <c r="S99" s="1112"/>
      <c r="T99" s="1119"/>
      <c r="U99" s="1091"/>
      <c r="V99" s="1091"/>
      <c r="W99" s="1091"/>
      <c r="X99" s="1091"/>
      <c r="Y99" s="1091"/>
      <c r="Z99" s="1091"/>
      <c r="AA99" s="1091"/>
      <c r="AB99" s="1091"/>
      <c r="AC99" s="1091"/>
      <c r="AD99" s="1091"/>
      <c r="AE99" s="1091"/>
    </row>
    <row r="100" spans="2:31" x14ac:dyDescent="0.2">
      <c r="B100" s="1091"/>
      <c r="C100" s="1091"/>
      <c r="D100" s="1112"/>
      <c r="E100" s="1119"/>
      <c r="F100" s="1091"/>
      <c r="G100" s="1091"/>
      <c r="H100" s="1091"/>
      <c r="I100" s="1091"/>
      <c r="J100" s="1119"/>
      <c r="K100" s="1091"/>
      <c r="L100" s="1091"/>
      <c r="M100" s="1119"/>
      <c r="N100" s="1112"/>
      <c r="O100" s="1119"/>
      <c r="P100" s="1091"/>
      <c r="Q100" s="1091"/>
      <c r="R100" s="1091"/>
      <c r="S100" s="1112"/>
      <c r="T100" s="1119"/>
      <c r="U100" s="1091"/>
      <c r="V100" s="1091"/>
      <c r="W100" s="1091"/>
      <c r="X100" s="1091"/>
      <c r="Y100" s="1091"/>
      <c r="Z100" s="1091"/>
      <c r="AA100" s="1091"/>
      <c r="AB100" s="1091"/>
      <c r="AC100" s="1091"/>
      <c r="AD100" s="1091"/>
      <c r="AE100" s="1091"/>
    </row>
    <row r="101" spans="2:31" x14ac:dyDescent="0.2">
      <c r="B101" s="1091"/>
      <c r="C101" s="1091"/>
      <c r="D101" s="1112"/>
      <c r="E101" s="1119"/>
      <c r="F101" s="1091"/>
      <c r="G101" s="1091"/>
      <c r="H101" s="1091"/>
      <c r="I101" s="1091"/>
      <c r="J101" s="1119"/>
      <c r="K101" s="1091"/>
      <c r="L101" s="1091"/>
      <c r="M101" s="1119"/>
      <c r="N101" s="1112"/>
      <c r="O101" s="1119"/>
      <c r="P101" s="1091"/>
      <c r="Q101" s="1091"/>
      <c r="R101" s="1091"/>
      <c r="S101" s="1112"/>
      <c r="T101" s="1119"/>
      <c r="U101" s="1091"/>
      <c r="V101" s="1091"/>
      <c r="W101" s="1091"/>
      <c r="X101" s="1091"/>
      <c r="Y101" s="1091"/>
      <c r="Z101" s="1091"/>
      <c r="AA101" s="1091"/>
      <c r="AB101" s="1091"/>
      <c r="AC101" s="1091"/>
      <c r="AD101" s="1091"/>
      <c r="AE101" s="1091"/>
    </row>
    <row r="102" spans="2:31" x14ac:dyDescent="0.2">
      <c r="B102" s="1091"/>
      <c r="C102" s="1091"/>
      <c r="D102" s="1112"/>
      <c r="E102" s="1119"/>
      <c r="F102" s="1091"/>
      <c r="G102" s="1091"/>
      <c r="H102" s="1091"/>
      <c r="I102" s="1091"/>
      <c r="J102" s="1119"/>
      <c r="K102" s="1091"/>
      <c r="L102" s="1091"/>
      <c r="M102" s="1119"/>
      <c r="N102" s="1112"/>
      <c r="O102" s="1119"/>
      <c r="P102" s="1091"/>
      <c r="Q102" s="1091"/>
      <c r="R102" s="1091"/>
      <c r="S102" s="1112"/>
      <c r="T102" s="1119"/>
      <c r="U102" s="1091"/>
      <c r="V102" s="1091"/>
      <c r="W102" s="1091"/>
      <c r="X102" s="1091"/>
      <c r="Y102" s="1091"/>
      <c r="Z102" s="1091"/>
      <c r="AA102" s="1091"/>
      <c r="AB102" s="1091"/>
      <c r="AC102" s="1091"/>
      <c r="AD102" s="1091"/>
      <c r="AE102" s="1091"/>
    </row>
    <row r="103" spans="2:31" x14ac:dyDescent="0.2">
      <c r="B103" s="1091"/>
      <c r="C103" s="1091"/>
      <c r="D103" s="1112"/>
      <c r="E103" s="1119"/>
      <c r="F103" s="1091"/>
      <c r="G103" s="1091"/>
      <c r="H103" s="1091"/>
      <c r="I103" s="1091"/>
      <c r="J103" s="1119"/>
      <c r="K103" s="1091"/>
      <c r="L103" s="1091"/>
      <c r="M103" s="1119"/>
      <c r="N103" s="1112"/>
      <c r="O103" s="1119"/>
      <c r="P103" s="1091"/>
      <c r="Q103" s="1091"/>
      <c r="R103" s="1091"/>
      <c r="S103" s="1112"/>
      <c r="T103" s="1119"/>
      <c r="U103" s="1091"/>
      <c r="V103" s="1091"/>
      <c r="W103" s="1091"/>
      <c r="X103" s="1091"/>
      <c r="Y103" s="1091"/>
      <c r="Z103" s="1091"/>
      <c r="AA103" s="1091"/>
      <c r="AB103" s="1091"/>
      <c r="AC103" s="1091"/>
      <c r="AD103" s="1091"/>
      <c r="AE103" s="1091"/>
    </row>
    <row r="104" spans="2:31" x14ac:dyDescent="0.2">
      <c r="B104" s="1091"/>
      <c r="C104" s="1091"/>
      <c r="D104" s="1112"/>
      <c r="E104" s="1119"/>
      <c r="F104" s="1091"/>
      <c r="G104" s="1091"/>
      <c r="H104" s="1091"/>
      <c r="I104" s="1091"/>
      <c r="J104" s="1119"/>
      <c r="K104" s="1091"/>
      <c r="L104" s="1091"/>
      <c r="M104" s="1119"/>
      <c r="N104" s="1112"/>
      <c r="O104" s="1119"/>
      <c r="P104" s="1091"/>
      <c r="Q104" s="1091"/>
      <c r="R104" s="1091"/>
      <c r="S104" s="1112"/>
      <c r="T104" s="1119"/>
      <c r="U104" s="1091"/>
      <c r="V104" s="1091"/>
      <c r="W104" s="1091"/>
      <c r="X104" s="1091"/>
      <c r="Y104" s="1091"/>
      <c r="Z104" s="1091"/>
      <c r="AA104" s="1091"/>
      <c r="AB104" s="1091"/>
      <c r="AC104" s="1091"/>
      <c r="AD104" s="1091"/>
      <c r="AE104" s="1091"/>
    </row>
    <row r="105" spans="2:31" x14ac:dyDescent="0.2">
      <c r="B105" s="1091"/>
      <c r="C105" s="1091"/>
      <c r="D105" s="1112"/>
      <c r="E105" s="1119"/>
      <c r="F105" s="1091"/>
      <c r="G105" s="1091"/>
      <c r="H105" s="1091"/>
      <c r="I105" s="1091"/>
      <c r="J105" s="1119"/>
      <c r="K105" s="1091"/>
      <c r="L105" s="1091"/>
      <c r="M105" s="1119"/>
      <c r="N105" s="1112"/>
      <c r="O105" s="1119"/>
      <c r="P105" s="1091"/>
      <c r="Q105" s="1091"/>
      <c r="R105" s="1091"/>
      <c r="S105" s="1112"/>
      <c r="T105" s="1119"/>
      <c r="U105" s="1091"/>
      <c r="V105" s="1091"/>
      <c r="W105" s="1091"/>
      <c r="X105" s="1091"/>
      <c r="Y105" s="1091"/>
      <c r="Z105" s="1091"/>
      <c r="AA105" s="1091"/>
      <c r="AB105" s="1091"/>
      <c r="AC105" s="1091"/>
      <c r="AD105" s="1091"/>
      <c r="AE105" s="1091"/>
    </row>
    <row r="106" spans="2:31" x14ac:dyDescent="0.2">
      <c r="B106" s="1091"/>
      <c r="C106" s="1091"/>
      <c r="D106" s="1112"/>
      <c r="E106" s="1119"/>
      <c r="F106" s="1091"/>
      <c r="G106" s="1091"/>
      <c r="H106" s="1091"/>
      <c r="I106" s="1091"/>
      <c r="J106" s="1119"/>
      <c r="K106" s="1091"/>
      <c r="L106" s="1091"/>
      <c r="M106" s="1119"/>
      <c r="N106" s="1112"/>
      <c r="O106" s="1119"/>
      <c r="P106" s="1091"/>
      <c r="Q106" s="1091"/>
      <c r="R106" s="1091"/>
      <c r="S106" s="1112"/>
      <c r="T106" s="1119"/>
      <c r="U106" s="1091"/>
      <c r="V106" s="1091"/>
      <c r="W106" s="1091"/>
      <c r="X106" s="1091"/>
      <c r="Y106" s="1091"/>
      <c r="Z106" s="1091"/>
      <c r="AA106" s="1091"/>
      <c r="AB106" s="1091"/>
      <c r="AC106" s="1091"/>
      <c r="AD106" s="1091"/>
      <c r="AE106" s="1091"/>
    </row>
    <row r="107" spans="2:31" x14ac:dyDescent="0.2">
      <c r="B107" s="1091"/>
      <c r="C107" s="1091"/>
      <c r="D107" s="1112"/>
      <c r="E107" s="1119"/>
      <c r="F107" s="1091"/>
      <c r="G107" s="1091"/>
      <c r="H107" s="1091"/>
      <c r="I107" s="1091"/>
      <c r="J107" s="1119"/>
      <c r="K107" s="1091"/>
      <c r="L107" s="1091"/>
      <c r="M107" s="1119"/>
      <c r="N107" s="1112"/>
      <c r="O107" s="1119"/>
      <c r="P107" s="1091"/>
      <c r="Q107" s="1091"/>
      <c r="R107" s="1091"/>
      <c r="S107" s="1112"/>
      <c r="T107" s="1119"/>
      <c r="U107" s="1091"/>
      <c r="V107" s="1091"/>
      <c r="W107" s="1091"/>
      <c r="X107" s="1091"/>
      <c r="Y107" s="1091"/>
      <c r="Z107" s="1091"/>
      <c r="AA107" s="1091"/>
      <c r="AB107" s="1091"/>
      <c r="AC107" s="1091"/>
      <c r="AD107" s="1091"/>
      <c r="AE107" s="1091"/>
    </row>
    <row r="108" spans="2:31" x14ac:dyDescent="0.2">
      <c r="B108" s="1091"/>
      <c r="C108" s="1091"/>
      <c r="D108" s="1112"/>
      <c r="E108" s="1119"/>
      <c r="F108" s="1091"/>
      <c r="G108" s="1091"/>
      <c r="H108" s="1091"/>
      <c r="I108" s="1091"/>
      <c r="J108" s="1119"/>
      <c r="K108" s="1091"/>
      <c r="L108" s="1091"/>
      <c r="M108" s="1119"/>
      <c r="N108" s="1112"/>
      <c r="O108" s="1119"/>
      <c r="P108" s="1091"/>
      <c r="Q108" s="1091"/>
      <c r="R108" s="1091"/>
      <c r="S108" s="1112"/>
      <c r="T108" s="1119"/>
      <c r="U108" s="1091"/>
      <c r="V108" s="1091"/>
      <c r="W108" s="1091"/>
      <c r="X108" s="1091"/>
      <c r="Y108" s="1091"/>
      <c r="Z108" s="1091"/>
      <c r="AA108" s="1091"/>
      <c r="AB108" s="1091"/>
      <c r="AC108" s="1091"/>
      <c r="AD108" s="1091"/>
      <c r="AE108" s="1091"/>
    </row>
    <row r="109" spans="2:31" x14ac:dyDescent="0.2">
      <c r="B109" s="1091"/>
      <c r="C109" s="1091"/>
      <c r="D109" s="1112"/>
      <c r="E109" s="1119"/>
      <c r="F109" s="1091"/>
      <c r="G109" s="1091"/>
      <c r="H109" s="1091"/>
      <c r="I109" s="1091"/>
      <c r="J109" s="1119"/>
      <c r="K109" s="1091"/>
      <c r="L109" s="1091"/>
      <c r="M109" s="1119"/>
      <c r="N109" s="1112"/>
      <c r="O109" s="1119"/>
      <c r="P109" s="1091"/>
      <c r="Q109" s="1091"/>
      <c r="R109" s="1091"/>
      <c r="S109" s="1112"/>
      <c r="T109" s="1119"/>
      <c r="U109" s="1091"/>
      <c r="V109" s="1091"/>
      <c r="W109" s="1091"/>
      <c r="X109" s="1091"/>
      <c r="Y109" s="1091"/>
      <c r="Z109" s="1091"/>
      <c r="AA109" s="1091"/>
      <c r="AB109" s="1091"/>
      <c r="AC109" s="1091"/>
      <c r="AD109" s="1091"/>
      <c r="AE109" s="1091"/>
    </row>
    <row r="110" spans="2:31" x14ac:dyDescent="0.2">
      <c r="B110" s="1091"/>
      <c r="C110" s="1091"/>
      <c r="D110" s="1112"/>
      <c r="E110" s="1119"/>
      <c r="F110" s="1091"/>
      <c r="G110" s="1091"/>
      <c r="H110" s="1091"/>
      <c r="I110" s="1091"/>
      <c r="J110" s="1119"/>
      <c r="K110" s="1091"/>
      <c r="L110" s="1091"/>
      <c r="M110" s="1119"/>
      <c r="N110" s="1112"/>
      <c r="O110" s="1119"/>
      <c r="P110" s="1091"/>
      <c r="Q110" s="1091"/>
      <c r="R110" s="1091"/>
      <c r="S110" s="1112"/>
      <c r="T110" s="1119"/>
      <c r="U110" s="1091"/>
      <c r="V110" s="1091"/>
      <c r="W110" s="1091"/>
      <c r="X110" s="1091"/>
      <c r="Y110" s="1091"/>
      <c r="Z110" s="1091"/>
      <c r="AA110" s="1091"/>
      <c r="AB110" s="1091"/>
      <c r="AC110" s="1091"/>
      <c r="AD110" s="1091"/>
      <c r="AE110" s="1091"/>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7"/>
  <sheetViews>
    <sheetView showGridLines="0" zoomScaleNormal="100" workbookViewId="0">
      <selection activeCell="W40" sqref="W40"/>
    </sheetView>
  </sheetViews>
  <sheetFormatPr defaultColWidth="9.33203125" defaultRowHeight="12.75" x14ac:dyDescent="0.2"/>
  <cols>
    <col min="1" max="1" width="30.6640625" style="1303" bestFit="1" customWidth="1"/>
    <col min="2" max="2" width="23.33203125" style="1303" bestFit="1" customWidth="1"/>
    <col min="3" max="3" width="32.33203125" style="1303" bestFit="1" customWidth="1"/>
    <col min="4" max="4" width="20.1640625" style="1303" bestFit="1" customWidth="1"/>
    <col min="5" max="5" width="16" style="1303" bestFit="1" customWidth="1"/>
    <col min="6" max="6" width="21.6640625" style="1303" bestFit="1" customWidth="1"/>
    <col min="7" max="7" width="20.1640625" style="1303" bestFit="1" customWidth="1"/>
    <col min="8" max="8" width="40.1640625" style="1303" bestFit="1" customWidth="1"/>
    <col min="9" max="9" width="21.83203125" style="1303" bestFit="1" customWidth="1"/>
    <col min="10" max="10" width="42.83203125" style="1303" bestFit="1" customWidth="1"/>
    <col min="11" max="11" width="15" style="1303" bestFit="1" customWidth="1"/>
    <col min="12" max="12" width="8" style="1303" bestFit="1" customWidth="1"/>
    <col min="13" max="13" width="6.5" style="1303" bestFit="1" customWidth="1"/>
    <col min="14" max="14" width="9" style="1303" customWidth="1"/>
    <col min="15" max="16" width="20.6640625" style="1303" bestFit="1" customWidth="1"/>
    <col min="17" max="17" width="35.5" style="1303" bestFit="1" customWidth="1"/>
    <col min="18" max="18" width="20.33203125" style="1303" bestFit="1" customWidth="1"/>
    <col min="19" max="19" width="31.83203125" style="1303" bestFit="1" customWidth="1"/>
    <col min="20" max="20" width="34.6640625" style="1303" bestFit="1" customWidth="1"/>
    <col min="21" max="21" width="33.33203125" style="1303" bestFit="1" customWidth="1"/>
    <col min="22" max="22" width="21.1640625" style="1303" bestFit="1" customWidth="1"/>
    <col min="23" max="23" width="33.1640625" style="1303" bestFit="1" customWidth="1"/>
    <col min="24" max="24" width="32.6640625" style="1303" bestFit="1" customWidth="1"/>
    <col min="25" max="25" width="29.1640625" style="1303" bestFit="1" customWidth="1"/>
    <col min="26" max="26" width="23.33203125" style="1303" bestFit="1" customWidth="1"/>
    <col min="27" max="27" width="12.6640625" style="1303" bestFit="1" customWidth="1"/>
    <col min="28" max="28" width="32" style="1303" bestFit="1" customWidth="1"/>
    <col min="29" max="29" width="16.1640625" style="1303" bestFit="1" customWidth="1"/>
    <col min="30" max="30" width="16" style="1303" bestFit="1" customWidth="1"/>
    <col min="31" max="31" width="31.1640625" style="1303" bestFit="1" customWidth="1"/>
    <col min="32" max="32" width="20.33203125" style="1303" bestFit="1" customWidth="1"/>
    <col min="33" max="33" width="13.6640625" style="1303" bestFit="1" customWidth="1"/>
    <col min="34" max="34" width="22" style="1303" bestFit="1" customWidth="1"/>
    <col min="35" max="35" width="31.5" style="1303" bestFit="1" customWidth="1"/>
    <col min="36" max="36" width="58.5" style="1303" bestFit="1" customWidth="1"/>
    <col min="37" max="37" width="62" style="1303" bestFit="1" customWidth="1"/>
    <col min="38" max="38" width="38.33203125" style="1303" bestFit="1" customWidth="1"/>
    <col min="39" max="16384" width="9.33203125" style="1303"/>
  </cols>
  <sheetData>
    <row r="1" spans="1:43" ht="13.5" thickBot="1" x14ac:dyDescent="0.25">
      <c r="A1" s="616" t="s">
        <v>7</v>
      </c>
      <c r="B1" s="617"/>
      <c r="C1" s="617"/>
      <c r="D1" s="617"/>
      <c r="E1" s="617"/>
      <c r="F1" s="617"/>
      <c r="G1" s="617"/>
      <c r="H1" s="617"/>
      <c r="I1" s="617"/>
      <c r="J1" s="617"/>
      <c r="K1" s="617"/>
      <c r="L1" s="617"/>
      <c r="M1" s="617"/>
      <c r="N1" s="617"/>
      <c r="O1" s="617"/>
      <c r="P1" s="617"/>
      <c r="Q1" s="617"/>
      <c r="R1" s="617"/>
      <c r="S1" s="618"/>
      <c r="T1" s="395"/>
      <c r="U1" s="395"/>
      <c r="V1" s="395"/>
      <c r="W1" s="395"/>
      <c r="X1" s="395"/>
      <c r="Y1" s="395"/>
      <c r="Z1" s="395"/>
      <c r="AA1" s="550"/>
      <c r="AB1" s="395"/>
      <c r="AC1" s="395"/>
      <c r="AD1" s="395"/>
      <c r="AE1" s="395"/>
      <c r="AF1" s="395"/>
      <c r="AG1" s="395"/>
      <c r="AH1" s="395"/>
      <c r="AI1" s="395"/>
      <c r="AJ1" s="395"/>
      <c r="AK1" s="395"/>
      <c r="AL1" s="395"/>
      <c r="AM1" s="395"/>
      <c r="AN1" s="395"/>
      <c r="AO1" s="395"/>
      <c r="AP1" s="395"/>
      <c r="AQ1" s="395"/>
    </row>
    <row r="2" spans="1:43" x14ac:dyDescent="0.2">
      <c r="A2" s="425" t="s">
        <v>8</v>
      </c>
      <c r="B2" s="438" t="s">
        <v>624</v>
      </c>
      <c r="C2" s="426"/>
      <c r="D2" s="426"/>
      <c r="E2" s="619" t="s">
        <v>10</v>
      </c>
      <c r="F2" s="438" t="s">
        <v>11</v>
      </c>
      <c r="G2" s="426"/>
      <c r="H2" s="620" t="s">
        <v>12</v>
      </c>
      <c r="I2" s="621"/>
      <c r="J2" s="620" t="s">
        <v>13</v>
      </c>
      <c r="K2" s="621"/>
      <c r="L2" s="621"/>
      <c r="M2" s="621"/>
      <c r="N2" s="438" t="s">
        <v>14</v>
      </c>
      <c r="O2" s="426"/>
      <c r="P2" s="426"/>
      <c r="Q2" s="426"/>
      <c r="R2" s="426"/>
      <c r="S2" s="428"/>
      <c r="T2" s="395"/>
      <c r="U2" s="395"/>
      <c r="V2" s="395"/>
      <c r="W2" s="395"/>
      <c r="X2" s="395"/>
      <c r="Y2" s="438"/>
      <c r="Z2" s="426"/>
      <c r="AA2" s="395"/>
      <c r="AB2" s="395"/>
      <c r="AC2" s="395"/>
      <c r="AD2" s="395"/>
      <c r="AE2" s="395"/>
      <c r="AF2" s="395"/>
      <c r="AG2" s="395"/>
      <c r="AH2" s="395"/>
      <c r="AI2" s="395"/>
      <c r="AJ2" s="395"/>
      <c r="AK2" s="395"/>
      <c r="AL2" s="395"/>
      <c r="AM2" s="395"/>
      <c r="AN2" s="395"/>
      <c r="AO2" s="395"/>
      <c r="AP2" s="395"/>
      <c r="AQ2" s="395"/>
    </row>
    <row r="3" spans="1:43" ht="15.75" x14ac:dyDescent="0.3">
      <c r="A3" s="432" t="s">
        <v>15</v>
      </c>
      <c r="B3" s="426">
        <v>1.75</v>
      </c>
      <c r="C3" s="426" t="s">
        <v>16</v>
      </c>
      <c r="D3" s="426"/>
      <c r="E3" s="619">
        <v>0.4</v>
      </c>
      <c r="F3" s="426">
        <v>2.6</v>
      </c>
      <c r="G3" s="426" t="s">
        <v>17</v>
      </c>
      <c r="H3" s="621"/>
      <c r="I3" s="621" t="s">
        <v>18</v>
      </c>
      <c r="J3" s="622"/>
      <c r="K3" s="621" t="s">
        <v>18</v>
      </c>
      <c r="L3" s="621"/>
      <c r="M3" s="621"/>
      <c r="N3" s="438" t="s">
        <v>19</v>
      </c>
      <c r="O3" s="426" t="s">
        <v>384</v>
      </c>
      <c r="P3" s="438" t="s">
        <v>20</v>
      </c>
      <c r="Q3" s="426" t="s">
        <v>385</v>
      </c>
      <c r="R3" s="438" t="s">
        <v>21</v>
      </c>
      <c r="S3" s="428" t="s">
        <v>386</v>
      </c>
      <c r="T3" s="395"/>
      <c r="U3" s="395"/>
      <c r="V3" s="395"/>
      <c r="W3" s="395"/>
      <c r="X3" s="395"/>
      <c r="Y3" s="426"/>
      <c r="Z3" s="426"/>
      <c r="AA3" s="395"/>
      <c r="AB3" s="395"/>
      <c r="AC3" s="395"/>
      <c r="AD3" s="395"/>
      <c r="AE3" s="395"/>
      <c r="AF3" s="395"/>
      <c r="AG3" s="395"/>
      <c r="AH3" s="395"/>
      <c r="AI3" s="395"/>
      <c r="AJ3" s="395"/>
      <c r="AK3" s="395"/>
      <c r="AL3" s="395"/>
      <c r="AM3" s="395"/>
      <c r="AN3" s="395"/>
      <c r="AO3" s="395"/>
      <c r="AP3" s="395"/>
      <c r="AQ3" s="395"/>
    </row>
    <row r="4" spans="1:43" ht="15.75" x14ac:dyDescent="0.3">
      <c r="A4" s="432" t="s">
        <v>22</v>
      </c>
      <c r="B4" s="7">
        <v>1.75</v>
      </c>
      <c r="C4" s="426" t="s">
        <v>16</v>
      </c>
      <c r="D4" s="426"/>
      <c r="E4" s="619">
        <v>0.4</v>
      </c>
      <c r="F4" s="426">
        <v>2.6</v>
      </c>
      <c r="G4" s="426" t="s">
        <v>17</v>
      </c>
      <c r="H4" s="621"/>
      <c r="I4" s="621" t="s">
        <v>18</v>
      </c>
      <c r="J4" s="622"/>
      <c r="K4" s="621" t="s">
        <v>18</v>
      </c>
      <c r="L4" s="621"/>
      <c r="M4" s="621"/>
      <c r="N4" s="438" t="s">
        <v>19</v>
      </c>
      <c r="O4" s="426" t="s">
        <v>384</v>
      </c>
      <c r="P4" s="438" t="s">
        <v>20</v>
      </c>
      <c r="Q4" s="426" t="s">
        <v>385</v>
      </c>
      <c r="R4" s="438" t="s">
        <v>21</v>
      </c>
      <c r="S4" s="428" t="s">
        <v>386</v>
      </c>
      <c r="T4" s="395"/>
      <c r="U4" s="395"/>
      <c r="V4" s="395"/>
      <c r="W4" s="395"/>
      <c r="X4" s="395"/>
      <c r="Y4" s="426"/>
      <c r="Z4" s="426"/>
      <c r="AA4" s="395"/>
      <c r="AB4" s="395"/>
      <c r="AC4" s="395"/>
      <c r="AD4" s="395"/>
      <c r="AE4" s="395"/>
      <c r="AF4" s="395"/>
      <c r="AG4" s="395"/>
      <c r="AH4" s="395"/>
      <c r="AI4" s="395"/>
      <c r="AJ4" s="395"/>
      <c r="AK4" s="395"/>
      <c r="AL4" s="395"/>
      <c r="AM4" s="395"/>
      <c r="AN4" s="395"/>
      <c r="AO4" s="395"/>
      <c r="AP4" s="395"/>
      <c r="AQ4" s="395"/>
    </row>
    <row r="5" spans="1:43" ht="15.75" x14ac:dyDescent="0.3">
      <c r="A5" s="432" t="s">
        <v>23</v>
      </c>
      <c r="B5" s="7">
        <v>2.5</v>
      </c>
      <c r="C5" s="426" t="s">
        <v>16</v>
      </c>
      <c r="D5" s="426"/>
      <c r="E5" s="619">
        <v>0.5</v>
      </c>
      <c r="F5" s="426">
        <v>2.6</v>
      </c>
      <c r="G5" s="426" t="s">
        <v>17</v>
      </c>
      <c r="H5" s="621"/>
      <c r="I5" s="621" t="s">
        <v>18</v>
      </c>
      <c r="J5" s="622"/>
      <c r="K5" s="621" t="s">
        <v>18</v>
      </c>
      <c r="L5" s="621"/>
      <c r="M5" s="621"/>
      <c r="N5" s="438" t="s">
        <v>425</v>
      </c>
      <c r="O5" s="426" t="s">
        <v>388</v>
      </c>
      <c r="P5" s="438" t="s">
        <v>20</v>
      </c>
      <c r="Q5" s="426" t="s">
        <v>389</v>
      </c>
      <c r="R5" s="438" t="s">
        <v>20</v>
      </c>
      <c r="S5" s="428" t="s">
        <v>386</v>
      </c>
      <c r="T5" s="395"/>
      <c r="U5" s="395"/>
      <c r="V5" s="395"/>
      <c r="W5" s="395"/>
      <c r="X5" s="395"/>
      <c r="Y5" s="426"/>
      <c r="Z5" s="426"/>
      <c r="AA5" s="395"/>
      <c r="AB5" s="395"/>
      <c r="AC5" s="395"/>
      <c r="AD5" s="395"/>
      <c r="AE5" s="395"/>
      <c r="AF5" s="395"/>
      <c r="AG5" s="395"/>
      <c r="AH5" s="395"/>
      <c r="AI5" s="395"/>
      <c r="AJ5" s="395"/>
      <c r="AK5" s="395"/>
      <c r="AL5" s="395"/>
      <c r="AM5" s="395"/>
      <c r="AN5" s="395"/>
      <c r="AO5" s="395"/>
      <c r="AP5" s="395"/>
      <c r="AQ5" s="395"/>
    </row>
    <row r="6" spans="1:43" ht="15.75" x14ac:dyDescent="0.3">
      <c r="A6" s="432" t="s">
        <v>24</v>
      </c>
      <c r="B6" s="7">
        <v>4</v>
      </c>
      <c r="C6" s="426" t="s">
        <v>16</v>
      </c>
      <c r="D6" s="426"/>
      <c r="E6" s="619">
        <v>0.25</v>
      </c>
      <c r="F6" s="426">
        <v>2.6</v>
      </c>
      <c r="G6" s="426" t="s">
        <v>17</v>
      </c>
      <c r="H6" s="621"/>
      <c r="I6" s="621" t="s">
        <v>18</v>
      </c>
      <c r="J6" s="622"/>
      <c r="K6" s="621" t="s">
        <v>18</v>
      </c>
      <c r="L6" s="621"/>
      <c r="M6" s="621"/>
      <c r="N6" s="438" t="s">
        <v>425</v>
      </c>
      <c r="O6" s="426" t="s">
        <v>388</v>
      </c>
      <c r="P6" s="438" t="s">
        <v>20</v>
      </c>
      <c r="Q6" s="426" t="s">
        <v>389</v>
      </c>
      <c r="R6" s="438" t="s">
        <v>20</v>
      </c>
      <c r="S6" s="428" t="s">
        <v>386</v>
      </c>
      <c r="T6" s="395"/>
      <c r="U6" s="395"/>
      <c r="V6" s="395"/>
      <c r="W6" s="395"/>
      <c r="X6" s="395"/>
      <c r="Y6" s="426"/>
      <c r="Z6" s="426"/>
      <c r="AA6" s="395"/>
      <c r="AB6" s="395"/>
      <c r="AC6" s="395"/>
      <c r="AD6" s="395"/>
      <c r="AE6" s="395"/>
      <c r="AF6" s="395"/>
      <c r="AG6" s="395"/>
      <c r="AH6" s="395"/>
      <c r="AI6" s="395"/>
      <c r="AJ6" s="395"/>
      <c r="AK6" s="395"/>
      <c r="AL6" s="395"/>
      <c r="AM6" s="395"/>
      <c r="AN6" s="395"/>
      <c r="AO6" s="395"/>
      <c r="AP6" s="395"/>
      <c r="AQ6" s="395"/>
    </row>
    <row r="7" spans="1:43" ht="15.75" x14ac:dyDescent="0.3">
      <c r="A7" s="432" t="s">
        <v>26</v>
      </c>
      <c r="B7" s="7">
        <v>5</v>
      </c>
      <c r="C7" s="426" t="s">
        <v>16</v>
      </c>
      <c r="D7" s="426"/>
      <c r="E7" s="619">
        <v>0.25</v>
      </c>
      <c r="F7" s="426">
        <v>5</v>
      </c>
      <c r="G7" s="426" t="s">
        <v>17</v>
      </c>
      <c r="H7" s="621"/>
      <c r="I7" s="621" t="s">
        <v>18</v>
      </c>
      <c r="J7" s="622"/>
      <c r="K7" s="621" t="s">
        <v>18</v>
      </c>
      <c r="L7" s="621"/>
      <c r="M7" s="621"/>
      <c r="N7" s="438" t="s">
        <v>425</v>
      </c>
      <c r="O7" s="426" t="s">
        <v>388</v>
      </c>
      <c r="P7" s="438" t="s">
        <v>20</v>
      </c>
      <c r="Q7" s="426" t="s">
        <v>389</v>
      </c>
      <c r="R7" s="438" t="s">
        <v>20</v>
      </c>
      <c r="S7" s="428" t="s">
        <v>386</v>
      </c>
      <c r="T7" s="395"/>
      <c r="U7" s="395"/>
      <c r="V7" s="395"/>
      <c r="W7" s="395"/>
      <c r="X7" s="395"/>
      <c r="Y7" s="426"/>
      <c r="Z7" s="426"/>
      <c r="AA7" s="395"/>
      <c r="AB7" s="395"/>
      <c r="AC7" s="395"/>
      <c r="AD7" s="395"/>
      <c r="AE7" s="395"/>
      <c r="AF7" s="395"/>
      <c r="AG7" s="395"/>
      <c r="AH7" s="395"/>
      <c r="AI7" s="395"/>
      <c r="AJ7" s="395"/>
      <c r="AK7" s="395"/>
      <c r="AL7" s="395"/>
      <c r="AM7" s="395"/>
      <c r="AN7" s="395"/>
      <c r="AO7" s="395"/>
      <c r="AP7" s="395"/>
      <c r="AQ7" s="395"/>
    </row>
    <row r="8" spans="1:43" ht="15.75" x14ac:dyDescent="0.3">
      <c r="A8" s="432" t="s">
        <v>9</v>
      </c>
      <c r="B8" s="7">
        <v>3</v>
      </c>
      <c r="C8" s="426" t="s">
        <v>16</v>
      </c>
      <c r="D8" s="426"/>
      <c r="E8" s="619">
        <v>0.5</v>
      </c>
      <c r="F8" s="426">
        <v>2.6</v>
      </c>
      <c r="G8" s="426" t="s">
        <v>17</v>
      </c>
      <c r="H8" s="621"/>
      <c r="I8" s="621" t="s">
        <v>18</v>
      </c>
      <c r="J8" s="622"/>
      <c r="K8" s="621" t="s">
        <v>18</v>
      </c>
      <c r="L8" s="621"/>
      <c r="M8" s="621"/>
      <c r="N8" s="438" t="s">
        <v>425</v>
      </c>
      <c r="O8" s="426" t="s">
        <v>388</v>
      </c>
      <c r="P8" s="438" t="s">
        <v>20</v>
      </c>
      <c r="Q8" s="426" t="s">
        <v>389</v>
      </c>
      <c r="R8" s="438" t="s">
        <v>20</v>
      </c>
      <c r="S8" s="428" t="s">
        <v>386</v>
      </c>
      <c r="T8" s="395"/>
      <c r="U8" s="395"/>
      <c r="V8" s="395"/>
      <c r="W8" s="395"/>
      <c r="X8" s="395"/>
      <c r="Y8" s="426"/>
      <c r="Z8" s="395"/>
      <c r="AA8" s="395"/>
      <c r="AB8" s="395"/>
      <c r="AC8" s="395"/>
      <c r="AD8" s="395"/>
      <c r="AE8" s="395"/>
      <c r="AF8" s="395"/>
      <c r="AG8" s="395"/>
      <c r="AH8" s="395"/>
      <c r="AI8" s="395"/>
      <c r="AJ8" s="395"/>
      <c r="AK8" s="395"/>
      <c r="AL8" s="395"/>
      <c r="AM8" s="395"/>
      <c r="AN8" s="395"/>
      <c r="AO8" s="395"/>
      <c r="AP8" s="395"/>
      <c r="AQ8" s="395"/>
    </row>
    <row r="9" spans="1:43" ht="15.75" x14ac:dyDescent="0.3">
      <c r="A9" s="432" t="s">
        <v>28</v>
      </c>
      <c r="B9" s="7">
        <v>5</v>
      </c>
      <c r="C9" s="426" t="s">
        <v>16</v>
      </c>
      <c r="D9" s="426"/>
      <c r="E9" s="619">
        <v>0.25</v>
      </c>
      <c r="F9" s="426">
        <v>2.6</v>
      </c>
      <c r="G9" s="426" t="s">
        <v>17</v>
      </c>
      <c r="H9" s="621"/>
      <c r="I9" s="621" t="s">
        <v>18</v>
      </c>
      <c r="J9" s="622"/>
      <c r="K9" s="621" t="s">
        <v>18</v>
      </c>
      <c r="L9" s="621"/>
      <c r="M9" s="621"/>
      <c r="N9" s="438" t="s">
        <v>425</v>
      </c>
      <c r="O9" s="426" t="s">
        <v>388</v>
      </c>
      <c r="P9" s="438" t="s">
        <v>20</v>
      </c>
      <c r="Q9" s="426" t="s">
        <v>389</v>
      </c>
      <c r="R9" s="438" t="s">
        <v>20</v>
      </c>
      <c r="S9" s="428" t="s">
        <v>386</v>
      </c>
      <c r="T9" s="395"/>
      <c r="U9" s="395"/>
      <c r="V9" s="395"/>
      <c r="W9" s="395"/>
      <c r="X9" s="395"/>
      <c r="Y9" s="426"/>
      <c r="Z9" s="395"/>
      <c r="AA9" s="395"/>
      <c r="AB9" s="550"/>
      <c r="AC9" s="395"/>
      <c r="AD9" s="395"/>
      <c r="AE9" s="395"/>
      <c r="AF9" s="395"/>
      <c r="AG9" s="395"/>
      <c r="AH9" s="395"/>
      <c r="AI9" s="395"/>
      <c r="AJ9" s="395"/>
      <c r="AK9" s="395"/>
      <c r="AL9" s="395"/>
      <c r="AM9" s="395"/>
      <c r="AN9" s="395"/>
      <c r="AO9" s="395"/>
      <c r="AP9" s="395"/>
      <c r="AQ9" s="395"/>
    </row>
    <row r="10" spans="1:43" ht="15.75" x14ac:dyDescent="0.3">
      <c r="A10" s="432" t="s">
        <v>29</v>
      </c>
      <c r="B10" s="7">
        <v>5</v>
      </c>
      <c r="C10" s="426" t="s">
        <v>16</v>
      </c>
      <c r="D10" s="426"/>
      <c r="E10" s="619">
        <v>0.8</v>
      </c>
      <c r="F10" s="426">
        <v>2.6</v>
      </c>
      <c r="G10" s="426" t="s">
        <v>17</v>
      </c>
      <c r="H10" s="621"/>
      <c r="I10" s="621" t="s">
        <v>18</v>
      </c>
      <c r="J10" s="622"/>
      <c r="K10" s="621" t="s">
        <v>18</v>
      </c>
      <c r="L10" s="621"/>
      <c r="M10" s="621"/>
      <c r="N10" s="438" t="s">
        <v>425</v>
      </c>
      <c r="O10" s="426" t="s">
        <v>388</v>
      </c>
      <c r="P10" s="438" t="s">
        <v>20</v>
      </c>
      <c r="Q10" s="426" t="s">
        <v>389</v>
      </c>
      <c r="R10" s="438" t="s">
        <v>20</v>
      </c>
      <c r="S10" s="428" t="s">
        <v>386</v>
      </c>
      <c r="T10" s="395"/>
      <c r="U10" s="395"/>
      <c r="V10" s="395"/>
      <c r="W10" s="395"/>
      <c r="X10" s="395"/>
      <c r="Y10" s="426"/>
      <c r="Z10" s="395"/>
      <c r="AA10" s="395"/>
      <c r="AB10" s="395"/>
      <c r="AC10" s="395"/>
      <c r="AD10" s="395"/>
      <c r="AE10" s="395"/>
      <c r="AF10" s="395"/>
      <c r="AG10" s="395"/>
      <c r="AH10" s="395"/>
      <c r="AI10" s="395"/>
      <c r="AJ10" s="395"/>
      <c r="AK10" s="395"/>
      <c r="AL10" s="395"/>
      <c r="AM10" s="395"/>
      <c r="AN10" s="395"/>
      <c r="AO10" s="395"/>
      <c r="AP10" s="395"/>
      <c r="AQ10" s="395"/>
    </row>
    <row r="11" spans="1:43" ht="15.75" x14ac:dyDescent="0.3">
      <c r="A11" s="454" t="s">
        <v>30</v>
      </c>
      <c r="B11" s="624">
        <v>3</v>
      </c>
      <c r="C11" s="455" t="s">
        <v>16</v>
      </c>
      <c r="D11" s="455"/>
      <c r="E11" s="625">
        <v>0.5</v>
      </c>
      <c r="F11" s="455">
        <v>2.6</v>
      </c>
      <c r="G11" s="455" t="s">
        <v>17</v>
      </c>
      <c r="H11" s="626"/>
      <c r="I11" s="626" t="s">
        <v>18</v>
      </c>
      <c r="J11" s="626"/>
      <c r="K11" s="626" t="s">
        <v>18</v>
      </c>
      <c r="L11" s="626"/>
      <c r="M11" s="626"/>
      <c r="N11" s="456" t="s">
        <v>425</v>
      </c>
      <c r="O11" s="455" t="s">
        <v>388</v>
      </c>
      <c r="P11" s="456" t="s">
        <v>20</v>
      </c>
      <c r="Q11" s="455" t="s">
        <v>389</v>
      </c>
      <c r="R11" s="456" t="s">
        <v>20</v>
      </c>
      <c r="S11" s="492" t="s">
        <v>386</v>
      </c>
      <c r="T11" s="395"/>
      <c r="U11" s="395"/>
      <c r="V11" s="395"/>
      <c r="W11" s="395"/>
      <c r="X11" s="395"/>
      <c r="Y11" s="426"/>
      <c r="Z11" s="395"/>
      <c r="AA11" s="395"/>
      <c r="AB11" s="395"/>
      <c r="AC11" s="395"/>
      <c r="AD11" s="395"/>
      <c r="AE11" s="395"/>
      <c r="AF11" s="395"/>
      <c r="AG11" s="395"/>
      <c r="AH11" s="395"/>
      <c r="AI11" s="395"/>
      <c r="AJ11" s="395"/>
      <c r="AK11" s="395"/>
      <c r="AL11" s="395"/>
      <c r="AM11" s="395"/>
      <c r="AN11" s="395"/>
      <c r="AO11" s="395"/>
      <c r="AP11" s="395"/>
      <c r="AQ11" s="395"/>
    </row>
    <row r="12" spans="1:43" ht="13.5" thickBot="1" x14ac:dyDescent="0.2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row>
    <row r="13" spans="1:43" ht="13.5" thickBot="1" x14ac:dyDescent="0.25">
      <c r="A13" s="616" t="s">
        <v>631</v>
      </c>
      <c r="B13" s="617"/>
      <c r="C13" s="627"/>
      <c r="D13" s="628"/>
      <c r="E13" s="395"/>
      <c r="F13" s="395"/>
      <c r="G13" s="395"/>
      <c r="H13" s="395"/>
      <c r="I13" s="395"/>
      <c r="J13" s="395"/>
      <c r="K13" s="395"/>
      <c r="L13" s="395"/>
      <c r="M13" s="395"/>
      <c r="N13" s="395"/>
      <c r="O13" s="395"/>
      <c r="P13" s="395"/>
      <c r="Q13" s="395"/>
      <c r="R13" s="395"/>
      <c r="S13" s="395"/>
      <c r="T13" s="395"/>
      <c r="U13" s="395"/>
      <c r="V13" s="395"/>
      <c r="W13" s="395"/>
      <c r="X13" s="395"/>
      <c r="Y13" s="426"/>
      <c r="Z13" s="395"/>
      <c r="AA13" s="395"/>
      <c r="AB13" s="395"/>
      <c r="AC13" s="395"/>
      <c r="AD13" s="395"/>
      <c r="AE13" s="395"/>
      <c r="AF13" s="395"/>
      <c r="AG13" s="395"/>
      <c r="AH13" s="395"/>
      <c r="AI13" s="395"/>
      <c r="AJ13" s="395"/>
      <c r="AK13" s="395"/>
      <c r="AL13" s="395"/>
      <c r="AM13" s="395"/>
      <c r="AN13" s="629"/>
      <c r="AO13" s="629"/>
      <c r="AP13" s="629"/>
      <c r="AQ13" s="395"/>
    </row>
    <row r="14" spans="1:43" x14ac:dyDescent="0.2">
      <c r="A14" s="459" t="s">
        <v>34</v>
      </c>
      <c r="B14" s="433"/>
      <c r="C14" s="433"/>
      <c r="D14" s="630"/>
      <c r="E14" s="433"/>
      <c r="F14" s="629"/>
      <c r="G14" s="629"/>
      <c r="H14" s="629"/>
      <c r="I14" s="629"/>
      <c r="J14" s="629"/>
      <c r="K14" s="629"/>
      <c r="L14" s="629"/>
      <c r="M14" s="629"/>
      <c r="N14" s="629"/>
      <c r="O14" s="629"/>
      <c r="P14" s="629"/>
      <c r="Q14" s="629"/>
      <c r="R14" s="629"/>
      <c r="S14" s="629"/>
      <c r="T14" s="629"/>
      <c r="U14" s="629"/>
      <c r="V14" s="629"/>
      <c r="W14" s="629"/>
      <c r="X14" s="629"/>
      <c r="Y14" s="629"/>
      <c r="Z14" s="395"/>
      <c r="AA14" s="395"/>
      <c r="AB14" s="395"/>
      <c r="AC14" s="395"/>
      <c r="AD14" s="395"/>
      <c r="AE14" s="395"/>
      <c r="AF14" s="395"/>
      <c r="AG14" s="395"/>
      <c r="AH14" s="395"/>
      <c r="AI14" s="395"/>
      <c r="AJ14" s="629"/>
      <c r="AK14" s="629"/>
      <c r="AL14" s="629"/>
      <c r="AM14" s="629"/>
      <c r="AN14" s="395"/>
      <c r="AO14" s="395"/>
      <c r="AP14" s="395"/>
      <c r="AQ14" s="380"/>
    </row>
    <row r="15" spans="1:43" ht="14.25" x14ac:dyDescent="0.2">
      <c r="A15" s="466" t="s">
        <v>46</v>
      </c>
      <c r="B15" s="433"/>
      <c r="C15" s="426" t="s">
        <v>390</v>
      </c>
      <c r="D15" s="428"/>
      <c r="E15" s="426"/>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629"/>
      <c r="AO15" s="629"/>
      <c r="AP15" s="629"/>
      <c r="AQ15" s="395"/>
    </row>
    <row r="16" spans="1:43" ht="14.25" x14ac:dyDescent="0.2">
      <c r="A16" s="432" t="s">
        <v>35</v>
      </c>
      <c r="B16" s="631">
        <v>1</v>
      </c>
      <c r="C16" s="426" t="s">
        <v>390</v>
      </c>
      <c r="D16" s="428">
        <v>0.05</v>
      </c>
      <c r="E16" s="433"/>
      <c r="F16" s="629"/>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395"/>
      <c r="AO16" s="395"/>
      <c r="AP16" s="395"/>
      <c r="AQ16" s="380"/>
    </row>
    <row r="17" spans="1:43" ht="14.25" x14ac:dyDescent="0.2">
      <c r="A17" s="432" t="s">
        <v>38</v>
      </c>
      <c r="B17" s="631">
        <v>1.1499999999999999</v>
      </c>
      <c r="C17" s="426" t="s">
        <v>390</v>
      </c>
      <c r="D17" s="428">
        <v>0.06</v>
      </c>
      <c r="E17" s="426"/>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row>
    <row r="18" spans="1:43" ht="14.25" x14ac:dyDescent="0.2">
      <c r="A18" s="432" t="s">
        <v>41</v>
      </c>
      <c r="B18" s="631">
        <v>1.4</v>
      </c>
      <c r="C18" s="426" t="s">
        <v>390</v>
      </c>
      <c r="D18" s="428">
        <v>7.0000000000000007E-2</v>
      </c>
      <c r="E18" s="426"/>
      <c r="F18" s="395"/>
      <c r="G18" s="426"/>
      <c r="H18" s="426"/>
      <c r="I18" s="426"/>
      <c r="J18" s="426"/>
      <c r="K18" s="426"/>
      <c r="L18" s="426"/>
      <c r="M18" s="426"/>
      <c r="N18" s="426"/>
      <c r="O18" s="426"/>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row>
    <row r="19" spans="1:43" ht="14.25" x14ac:dyDescent="0.2">
      <c r="A19" s="432" t="s">
        <v>209</v>
      </c>
      <c r="B19" s="7">
        <v>1.5</v>
      </c>
      <c r="C19" s="426" t="s">
        <v>390</v>
      </c>
      <c r="D19" s="428">
        <v>0.09</v>
      </c>
      <c r="E19" s="426"/>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row>
    <row r="20" spans="1:43" x14ac:dyDescent="0.2">
      <c r="A20" s="432" t="s">
        <v>294</v>
      </c>
      <c r="B20" s="7">
        <v>1.2</v>
      </c>
      <c r="C20" s="426" t="s">
        <v>16</v>
      </c>
      <c r="D20" s="428">
        <v>0.35</v>
      </c>
      <c r="E20" s="426"/>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row>
    <row r="21" spans="1:43" x14ac:dyDescent="0.2">
      <c r="A21" s="432"/>
      <c r="B21" s="426"/>
      <c r="C21" s="426"/>
      <c r="D21" s="632"/>
      <c r="E21" s="426"/>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row>
    <row r="22" spans="1:43" x14ac:dyDescent="0.2">
      <c r="A22" s="425" t="s">
        <v>32</v>
      </c>
      <c r="B22" s="426"/>
      <c r="C22" s="426"/>
      <c r="D22" s="428"/>
      <c r="E22" s="426"/>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row>
    <row r="23" spans="1:43" ht="14.25" x14ac:dyDescent="0.2">
      <c r="A23" s="432" t="s">
        <v>46</v>
      </c>
      <c r="B23" s="7">
        <v>0</v>
      </c>
      <c r="C23" s="426" t="s">
        <v>390</v>
      </c>
      <c r="D23" s="428"/>
      <c r="E23" s="426"/>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row>
    <row r="24" spans="1:43" ht="14.25" x14ac:dyDescent="0.2">
      <c r="A24" s="432" t="s">
        <v>391</v>
      </c>
      <c r="B24" s="7">
        <v>0.2</v>
      </c>
      <c r="C24" s="426" t="s">
        <v>390</v>
      </c>
      <c r="D24" s="428"/>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row>
    <row r="25" spans="1:43" ht="14.25" x14ac:dyDescent="0.2">
      <c r="A25" s="432" t="s">
        <v>392</v>
      </c>
      <c r="B25" s="7">
        <v>0.4</v>
      </c>
      <c r="C25" s="426" t="s">
        <v>390</v>
      </c>
      <c r="D25" s="428"/>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row>
    <row r="26" spans="1:43" x14ac:dyDescent="0.2">
      <c r="A26" s="432"/>
      <c r="B26" s="7"/>
      <c r="C26" s="426"/>
      <c r="D26" s="428"/>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row>
    <row r="27" spans="1:43" x14ac:dyDescent="0.2">
      <c r="A27" s="425" t="s">
        <v>33</v>
      </c>
      <c r="B27" s="7"/>
      <c r="C27" s="426"/>
      <c r="D27" s="428"/>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row>
    <row r="28" spans="1:43" ht="14.25" x14ac:dyDescent="0.2">
      <c r="A28" s="432" t="s">
        <v>46</v>
      </c>
      <c r="B28" s="7">
        <v>0</v>
      </c>
      <c r="C28" s="426" t="s">
        <v>390</v>
      </c>
      <c r="D28" s="428"/>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row>
    <row r="29" spans="1:43" ht="14.25" x14ac:dyDescent="0.2">
      <c r="A29" s="432" t="s">
        <v>393</v>
      </c>
      <c r="B29" s="7">
        <v>0.5</v>
      </c>
      <c r="C29" s="426" t="s">
        <v>390</v>
      </c>
      <c r="D29" s="428"/>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row>
    <row r="30" spans="1:43" ht="14.25" x14ac:dyDescent="0.2">
      <c r="A30" s="432" t="s">
        <v>468</v>
      </c>
      <c r="B30" s="7">
        <v>1.5</v>
      </c>
      <c r="C30" s="426" t="s">
        <v>390</v>
      </c>
      <c r="D30" s="428"/>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row>
    <row r="31" spans="1:43" ht="14.25" x14ac:dyDescent="0.2">
      <c r="A31" s="454" t="s">
        <v>394</v>
      </c>
      <c r="B31" s="624">
        <v>2.5</v>
      </c>
      <c r="C31" s="455" t="s">
        <v>390</v>
      </c>
      <c r="D31" s="492"/>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row>
    <row r="32" spans="1:43" ht="13.5" thickBot="1" x14ac:dyDescent="0.25">
      <c r="A32" s="395"/>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row>
    <row r="33" spans="1:43" ht="13.5" thickBot="1" x14ac:dyDescent="0.25">
      <c r="A33" s="616" t="s">
        <v>497</v>
      </c>
      <c r="B33" s="617"/>
      <c r="C33" s="627"/>
      <c r="D33" s="627"/>
      <c r="E33" s="627"/>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8"/>
      <c r="AM33" s="395"/>
      <c r="AN33" s="395"/>
      <c r="AO33" s="395"/>
      <c r="AP33" s="395"/>
      <c r="AQ33" s="380"/>
    </row>
    <row r="34" spans="1:43" x14ac:dyDescent="0.2">
      <c r="A34" s="425" t="s">
        <v>495</v>
      </c>
      <c r="B34" s="428"/>
      <c r="C34" s="448" t="s">
        <v>295</v>
      </c>
      <c r="D34" s="487"/>
      <c r="E34" s="490" t="s">
        <v>48</v>
      </c>
      <c r="F34" s="455"/>
      <c r="G34" s="635"/>
      <c r="H34" s="636" t="s">
        <v>50</v>
      </c>
      <c r="I34" s="626"/>
      <c r="J34" s="636" t="s">
        <v>499</v>
      </c>
      <c r="K34" s="637"/>
      <c r="L34" s="626"/>
      <c r="M34" s="626"/>
      <c r="N34" s="626"/>
      <c r="O34" s="638"/>
      <c r="P34" s="490" t="s">
        <v>502</v>
      </c>
      <c r="Q34" s="490" t="s">
        <v>503</v>
      </c>
      <c r="R34" s="639" t="s">
        <v>504</v>
      </c>
      <c r="S34" s="490" t="s">
        <v>505</v>
      </c>
      <c r="T34" s="490" t="s">
        <v>506</v>
      </c>
      <c r="U34" s="639" t="s">
        <v>507</v>
      </c>
      <c r="V34" s="639" t="s">
        <v>508</v>
      </c>
      <c r="W34" s="639" t="s">
        <v>509</v>
      </c>
      <c r="X34" s="639" t="s">
        <v>510</v>
      </c>
      <c r="Y34" s="639" t="s">
        <v>511</v>
      </c>
      <c r="Z34" s="517" t="s">
        <v>423</v>
      </c>
      <c r="AA34" s="640" t="s">
        <v>424</v>
      </c>
      <c r="AB34" s="639" t="s">
        <v>512</v>
      </c>
      <c r="AC34" s="641" t="s">
        <v>513</v>
      </c>
      <c r="AD34" s="641" t="s">
        <v>514</v>
      </c>
      <c r="AE34" s="641" t="s">
        <v>515</v>
      </c>
      <c r="AF34" s="1292" t="s">
        <v>867</v>
      </c>
      <c r="AG34" s="1292" t="s">
        <v>871</v>
      </c>
      <c r="AH34" s="490" t="s">
        <v>516</v>
      </c>
      <c r="AI34" s="639" t="s">
        <v>517</v>
      </c>
      <c r="AJ34" s="490" t="s">
        <v>518</v>
      </c>
      <c r="AK34" s="642" t="s">
        <v>413</v>
      </c>
      <c r="AL34" s="643"/>
      <c r="AM34" s="395"/>
      <c r="AN34" s="395"/>
      <c r="AO34" s="395"/>
      <c r="AP34" s="395"/>
      <c r="AQ34" s="395"/>
    </row>
    <row r="35" spans="1:43" x14ac:dyDescent="0.2">
      <c r="A35" s="644" t="s">
        <v>70</v>
      </c>
      <c r="B35" s="485" t="s">
        <v>40</v>
      </c>
      <c r="C35" s="485" t="s">
        <v>299</v>
      </c>
      <c r="D35" s="487">
        <v>0.3</v>
      </c>
      <c r="E35" s="442">
        <v>0</v>
      </c>
      <c r="F35" s="619" t="s">
        <v>69</v>
      </c>
      <c r="G35" s="735">
        <v>3.6</v>
      </c>
      <c r="H35" s="645">
        <v>30</v>
      </c>
      <c r="I35" s="621" t="s">
        <v>51</v>
      </c>
      <c r="J35" s="646" t="s">
        <v>199</v>
      </c>
      <c r="K35" s="646" t="s">
        <v>87</v>
      </c>
      <c r="L35" s="647" t="s">
        <v>616</v>
      </c>
      <c r="M35" s="646" t="s">
        <v>500</v>
      </c>
      <c r="N35" s="648" t="s">
        <v>201</v>
      </c>
      <c r="O35" s="648" t="s">
        <v>501</v>
      </c>
      <c r="P35" s="466" t="s">
        <v>617</v>
      </c>
      <c r="Q35" s="649" t="s">
        <v>219</v>
      </c>
      <c r="R35" s="649" t="s">
        <v>221</v>
      </c>
      <c r="S35" s="432" t="s">
        <v>88</v>
      </c>
      <c r="T35" s="432" t="s">
        <v>88</v>
      </c>
      <c r="U35" s="649" t="s">
        <v>487</v>
      </c>
      <c r="V35" s="649" t="s">
        <v>290</v>
      </c>
      <c r="W35" s="649" t="s">
        <v>617</v>
      </c>
      <c r="X35" s="649" t="s">
        <v>408</v>
      </c>
      <c r="Y35" s="649" t="s">
        <v>617</v>
      </c>
      <c r="Z35" s="650">
        <v>500</v>
      </c>
      <c r="AA35" s="651">
        <v>10</v>
      </c>
      <c r="AB35" s="649" t="s">
        <v>224</v>
      </c>
      <c r="AC35" s="651">
        <v>1</v>
      </c>
      <c r="AD35" s="652">
        <v>1</v>
      </c>
      <c r="AE35" s="653" t="s">
        <v>288</v>
      </c>
      <c r="AF35" s="657" t="s">
        <v>868</v>
      </c>
      <c r="AG35" s="657" t="s">
        <v>869</v>
      </c>
      <c r="AH35" s="466" t="s">
        <v>42</v>
      </c>
      <c r="AI35" s="1288" t="s">
        <v>43</v>
      </c>
      <c r="AJ35" s="1289" t="s">
        <v>43</v>
      </c>
      <c r="AK35" s="1290" t="s">
        <v>40</v>
      </c>
      <c r="AL35" s="487"/>
      <c r="AM35" s="395"/>
      <c r="AN35" s="395"/>
      <c r="AO35" s="395"/>
      <c r="AP35" s="395"/>
      <c r="AQ35" s="395"/>
    </row>
    <row r="36" spans="1:43" x14ac:dyDescent="0.2">
      <c r="A36" s="432" t="s">
        <v>65</v>
      </c>
      <c r="B36" s="432" t="s">
        <v>25</v>
      </c>
      <c r="C36" s="432" t="s">
        <v>300</v>
      </c>
      <c r="D36" s="428">
        <v>0.4</v>
      </c>
      <c r="E36" s="426">
        <v>3.6</v>
      </c>
      <c r="F36" s="619" t="s">
        <v>68</v>
      </c>
      <c r="G36" s="735">
        <v>5.4</v>
      </c>
      <c r="H36" s="645">
        <v>60</v>
      </c>
      <c r="I36" s="621" t="s">
        <v>51</v>
      </c>
      <c r="J36" s="645" t="s">
        <v>52</v>
      </c>
      <c r="K36" s="645" t="s">
        <v>54</v>
      </c>
      <c r="L36" s="655" t="s">
        <v>54</v>
      </c>
      <c r="M36" s="622" t="s">
        <v>236</v>
      </c>
      <c r="N36" s="655" t="s">
        <v>1069</v>
      </c>
      <c r="O36" s="655" t="s">
        <v>377</v>
      </c>
      <c r="P36" s="466" t="s">
        <v>88</v>
      </c>
      <c r="Q36" s="649" t="s">
        <v>443</v>
      </c>
      <c r="R36" s="649" t="s">
        <v>220</v>
      </c>
      <c r="S36" s="432" t="s">
        <v>617</v>
      </c>
      <c r="T36" s="432" t="s">
        <v>617</v>
      </c>
      <c r="U36" s="649" t="s">
        <v>488</v>
      </c>
      <c r="V36" s="649" t="s">
        <v>206</v>
      </c>
      <c r="W36" s="649" t="s">
        <v>88</v>
      </c>
      <c r="X36" s="649" t="s">
        <v>409</v>
      </c>
      <c r="Y36" s="649" t="s">
        <v>88</v>
      </c>
      <c r="Z36" s="650">
        <v>1000</v>
      </c>
      <c r="AA36" s="651">
        <v>15</v>
      </c>
      <c r="AB36" s="649" t="s">
        <v>225</v>
      </c>
      <c r="AC36" s="651">
        <v>2</v>
      </c>
      <c r="AD36" s="652">
        <v>2</v>
      </c>
      <c r="AE36" s="651" t="s">
        <v>285</v>
      </c>
      <c r="AF36" s="657" t="s">
        <v>869</v>
      </c>
      <c r="AG36" s="657" t="s">
        <v>870</v>
      </c>
      <c r="AH36" s="466" t="s">
        <v>85</v>
      </c>
      <c r="AI36" s="654" t="s">
        <v>39</v>
      </c>
      <c r="AJ36" s="466" t="s">
        <v>39</v>
      </c>
      <c r="AK36" s="619" t="s">
        <v>25</v>
      </c>
      <c r="AL36" s="428" t="s">
        <v>432</v>
      </c>
      <c r="AM36" s="395"/>
      <c r="AN36" s="395"/>
      <c r="AO36" s="395"/>
      <c r="AP36" s="395"/>
      <c r="AQ36" s="395"/>
    </row>
    <row r="37" spans="1:43" x14ac:dyDescent="0.2">
      <c r="A37" s="454"/>
      <c r="B37" s="454"/>
      <c r="C37" s="432" t="s">
        <v>301</v>
      </c>
      <c r="D37" s="428">
        <v>0.5</v>
      </c>
      <c r="E37" s="426">
        <v>5.4</v>
      </c>
      <c r="F37" s="619" t="s">
        <v>533</v>
      </c>
      <c r="G37" s="735">
        <v>7.2</v>
      </c>
      <c r="H37" s="645">
        <v>90</v>
      </c>
      <c r="I37" s="621" t="s">
        <v>51</v>
      </c>
      <c r="J37" s="645" t="s">
        <v>53</v>
      </c>
      <c r="K37" s="645" t="s">
        <v>55</v>
      </c>
      <c r="L37" s="655" t="s">
        <v>55</v>
      </c>
      <c r="M37" s="622" t="s">
        <v>237</v>
      </c>
      <c r="N37" s="655"/>
      <c r="O37" s="655"/>
      <c r="P37" s="466" t="s">
        <v>216</v>
      </c>
      <c r="Q37" s="649"/>
      <c r="R37" s="649"/>
      <c r="S37" s="432" t="s">
        <v>774</v>
      </c>
      <c r="T37" s="432" t="s">
        <v>774</v>
      </c>
      <c r="U37" s="649" t="s">
        <v>489</v>
      </c>
      <c r="V37" s="649" t="s">
        <v>203</v>
      </c>
      <c r="W37" s="649" t="s">
        <v>487</v>
      </c>
      <c r="X37" s="649"/>
      <c r="Y37" s="649"/>
      <c r="Z37" s="650">
        <v>1500</v>
      </c>
      <c r="AA37" s="651">
        <v>20</v>
      </c>
      <c r="AB37" s="649" t="s">
        <v>226</v>
      </c>
      <c r="AC37" s="651">
        <v>3</v>
      </c>
      <c r="AD37" s="652">
        <v>3</v>
      </c>
      <c r="AE37" s="651" t="s">
        <v>286</v>
      </c>
      <c r="AF37" s="657" t="s">
        <v>870</v>
      </c>
      <c r="AG37" s="657" t="s">
        <v>872</v>
      </c>
      <c r="AH37" s="466" t="s">
        <v>86</v>
      </c>
      <c r="AI37" s="654" t="s">
        <v>618</v>
      </c>
      <c r="AJ37" s="466" t="s">
        <v>618</v>
      </c>
      <c r="AK37" s="619" t="s">
        <v>25</v>
      </c>
      <c r="AL37" s="428" t="s">
        <v>432</v>
      </c>
      <c r="AM37" s="395"/>
      <c r="AN37" s="395"/>
      <c r="AO37" s="395"/>
      <c r="AP37" s="395"/>
      <c r="AQ37" s="395"/>
    </row>
    <row r="38" spans="1:43" x14ac:dyDescent="0.2">
      <c r="A38" s="485" t="s">
        <v>46</v>
      </c>
      <c r="B38" s="487"/>
      <c r="C38" s="432" t="s">
        <v>46</v>
      </c>
      <c r="D38" s="428">
        <v>0</v>
      </c>
      <c r="E38" s="426">
        <v>7.2</v>
      </c>
      <c r="F38" s="619" t="s">
        <v>534</v>
      </c>
      <c r="G38" s="735">
        <v>10.8</v>
      </c>
      <c r="H38" s="645">
        <v>120</v>
      </c>
      <c r="I38" s="621" t="s">
        <v>51</v>
      </c>
      <c r="J38" s="645" t="s">
        <v>767</v>
      </c>
      <c r="K38" s="645" t="s">
        <v>1078</v>
      </c>
      <c r="L38" s="655" t="s">
        <v>1078</v>
      </c>
      <c r="M38" s="622" t="s">
        <v>421</v>
      </c>
      <c r="N38" s="655"/>
      <c r="O38" s="655"/>
      <c r="P38" s="466" t="s">
        <v>217</v>
      </c>
      <c r="Q38" s="649"/>
      <c r="R38" s="649"/>
      <c r="S38" s="432" t="s">
        <v>368</v>
      </c>
      <c r="T38" s="432"/>
      <c r="U38" s="649" t="s">
        <v>88</v>
      </c>
      <c r="V38" s="649"/>
      <c r="W38" s="649" t="s">
        <v>488</v>
      </c>
      <c r="X38" s="649"/>
      <c r="Y38" s="649"/>
      <c r="Z38" s="650">
        <v>2000</v>
      </c>
      <c r="AA38" s="651">
        <v>25</v>
      </c>
      <c r="AB38" s="649"/>
      <c r="AC38" s="651">
        <v>4</v>
      </c>
      <c r="AD38" s="652">
        <v>4</v>
      </c>
      <c r="AE38" s="651" t="s">
        <v>287</v>
      </c>
      <c r="AF38" s="657" t="s">
        <v>909</v>
      </c>
      <c r="AG38" s="657"/>
      <c r="AH38" s="466" t="s">
        <v>618</v>
      </c>
      <c r="AI38" s="654" t="s">
        <v>1067</v>
      </c>
      <c r="AJ38" s="466" t="s">
        <v>1067</v>
      </c>
      <c r="AK38" s="619" t="s">
        <v>40</v>
      </c>
      <c r="AL38" s="428"/>
      <c r="AM38" s="395"/>
      <c r="AN38" s="395"/>
      <c r="AO38" s="395"/>
      <c r="AP38" s="395"/>
      <c r="AQ38" s="395"/>
    </row>
    <row r="39" spans="1:43" x14ac:dyDescent="0.2">
      <c r="A39" s="432" t="s">
        <v>70</v>
      </c>
      <c r="B39" s="428"/>
      <c r="C39" s="432"/>
      <c r="D39" s="428"/>
      <c r="E39" s="426">
        <v>10.8</v>
      </c>
      <c r="F39" s="619" t="s">
        <v>36</v>
      </c>
      <c r="G39" s="735">
        <v>12.6</v>
      </c>
      <c r="H39" s="645"/>
      <c r="I39" s="621"/>
      <c r="J39" s="645"/>
      <c r="K39" s="645" t="s">
        <v>56</v>
      </c>
      <c r="L39" s="655" t="s">
        <v>56</v>
      </c>
      <c r="M39" s="645"/>
      <c r="N39" s="655"/>
      <c r="O39" s="655"/>
      <c r="P39" s="466" t="s">
        <v>766</v>
      </c>
      <c r="Q39" s="649"/>
      <c r="R39" s="649"/>
      <c r="S39" s="432" t="s">
        <v>376</v>
      </c>
      <c r="T39" s="432"/>
      <c r="U39" s="649" t="s">
        <v>617</v>
      </c>
      <c r="V39" s="649"/>
      <c r="W39" s="649" t="s">
        <v>489</v>
      </c>
      <c r="X39" s="649"/>
      <c r="Y39" s="649"/>
      <c r="Z39" s="432"/>
      <c r="AA39" s="649"/>
      <c r="AB39" s="649"/>
      <c r="AC39" s="651">
        <v>5</v>
      </c>
      <c r="AD39" s="657"/>
      <c r="AE39" s="651"/>
      <c r="AF39" s="657" t="s">
        <v>910</v>
      </c>
      <c r="AG39" s="657"/>
      <c r="AH39" s="658"/>
      <c r="AI39" s="654" t="s">
        <v>121</v>
      </c>
      <c r="AJ39" s="466" t="s">
        <v>121</v>
      </c>
      <c r="AK39" s="619" t="s">
        <v>40</v>
      </c>
      <c r="AL39" s="428"/>
      <c r="AM39" s="395"/>
      <c r="AN39" s="395"/>
      <c r="AO39" s="395"/>
      <c r="AP39" s="395"/>
      <c r="AQ39" s="395"/>
    </row>
    <row r="40" spans="1:43" x14ac:dyDescent="0.2">
      <c r="A40" s="432" t="s">
        <v>46</v>
      </c>
      <c r="B40" s="428"/>
      <c r="C40" s="432"/>
      <c r="D40" s="428"/>
      <c r="E40" s="426">
        <v>12.6</v>
      </c>
      <c r="F40" s="619" t="s">
        <v>49</v>
      </c>
      <c r="G40" s="735">
        <v>16</v>
      </c>
      <c r="H40" s="645"/>
      <c r="I40" s="621"/>
      <c r="J40" s="645"/>
      <c r="K40" s="645" t="s">
        <v>57</v>
      </c>
      <c r="L40" s="655" t="s">
        <v>57</v>
      </c>
      <c r="M40" s="645"/>
      <c r="N40" s="655"/>
      <c r="O40" s="655"/>
      <c r="P40" s="466" t="s">
        <v>376</v>
      </c>
      <c r="Q40" s="649"/>
      <c r="R40" s="649"/>
      <c r="S40" s="432"/>
      <c r="T40" s="432"/>
      <c r="U40" s="649" t="s">
        <v>365</v>
      </c>
      <c r="V40" s="649"/>
      <c r="W40" s="649" t="s">
        <v>365</v>
      </c>
      <c r="X40" s="649"/>
      <c r="Y40" s="649"/>
      <c r="Z40" s="432"/>
      <c r="AA40" s="649"/>
      <c r="AB40" s="649"/>
      <c r="AC40" s="651">
        <v>6</v>
      </c>
      <c r="AD40" s="657"/>
      <c r="AE40" s="651"/>
      <c r="AF40" s="657"/>
      <c r="AG40" s="657"/>
      <c r="AH40" s="459" t="s">
        <v>208</v>
      </c>
      <c r="AI40" s="654" t="s">
        <v>440</v>
      </c>
      <c r="AJ40" s="466" t="s">
        <v>440</v>
      </c>
      <c r="AK40" s="619" t="s">
        <v>40</v>
      </c>
      <c r="AL40" s="428"/>
      <c r="AM40" s="395"/>
      <c r="AN40" s="395"/>
      <c r="AO40" s="395"/>
      <c r="AP40" s="395"/>
      <c r="AQ40" s="395"/>
    </row>
    <row r="41" spans="1:43" x14ac:dyDescent="0.2">
      <c r="A41" s="432" t="s">
        <v>65</v>
      </c>
      <c r="B41" s="428"/>
      <c r="C41" s="432"/>
      <c r="D41" s="428"/>
      <c r="E41" s="426"/>
      <c r="F41" s="426"/>
      <c r="G41" s="465"/>
      <c r="H41" s="645"/>
      <c r="I41" s="621"/>
      <c r="J41" s="645"/>
      <c r="K41" s="645" t="s">
        <v>58</v>
      </c>
      <c r="L41" s="655" t="s">
        <v>58</v>
      </c>
      <c r="M41" s="645"/>
      <c r="N41" s="655"/>
      <c r="O41" s="655"/>
      <c r="P41" s="432" t="s">
        <v>1058</v>
      </c>
      <c r="Q41" s="649"/>
      <c r="R41" s="649"/>
      <c r="S41" s="432"/>
      <c r="T41" s="432"/>
      <c r="U41" s="649"/>
      <c r="V41" s="649"/>
      <c r="W41" s="649"/>
      <c r="X41" s="649"/>
      <c r="Y41" s="649"/>
      <c r="Z41" s="432"/>
      <c r="AA41" s="649"/>
      <c r="AB41" s="649"/>
      <c r="AC41" s="651">
        <v>7</v>
      </c>
      <c r="AD41" s="657"/>
      <c r="AE41" s="651"/>
      <c r="AF41" s="657"/>
      <c r="AG41" s="657"/>
      <c r="AH41" s="659">
        <v>5.4</v>
      </c>
      <c r="AI41" s="654" t="s">
        <v>42</v>
      </c>
      <c r="AJ41" s="466" t="s">
        <v>42</v>
      </c>
      <c r="AK41" s="619" t="s">
        <v>40</v>
      </c>
      <c r="AL41" s="428"/>
      <c r="AM41" s="395"/>
      <c r="AN41" s="395"/>
      <c r="AO41" s="395"/>
      <c r="AP41" s="395"/>
      <c r="AQ41" s="395"/>
    </row>
    <row r="42" spans="1:43" x14ac:dyDescent="0.2">
      <c r="A42" s="432"/>
      <c r="B42" s="428"/>
      <c r="C42" s="454"/>
      <c r="D42" s="492"/>
      <c r="E42" s="455"/>
      <c r="F42" s="455"/>
      <c r="G42" s="660"/>
      <c r="H42" s="661"/>
      <c r="I42" s="626"/>
      <c r="J42" s="645"/>
      <c r="K42" s="645"/>
      <c r="L42" s="655"/>
      <c r="M42" s="645"/>
      <c r="N42" s="645"/>
      <c r="O42" s="645"/>
      <c r="P42" s="454"/>
      <c r="Q42" s="656"/>
      <c r="R42" s="656"/>
      <c r="S42" s="454"/>
      <c r="T42" s="454"/>
      <c r="U42" s="656"/>
      <c r="V42" s="656"/>
      <c r="W42" s="656"/>
      <c r="X42" s="656"/>
      <c r="Y42" s="656"/>
      <c r="Z42" s="454"/>
      <c r="AA42" s="656"/>
      <c r="AB42" s="656"/>
      <c r="AC42" s="662"/>
      <c r="AD42" s="663"/>
      <c r="AE42" s="662"/>
      <c r="AF42" s="663"/>
      <c r="AG42" s="663"/>
      <c r="AH42" s="664">
        <v>7.2</v>
      </c>
      <c r="AI42" s="669" t="s">
        <v>47</v>
      </c>
      <c r="AJ42" s="658" t="s">
        <v>47</v>
      </c>
      <c r="AK42" s="670" t="s">
        <v>40</v>
      </c>
      <c r="AL42" s="671"/>
      <c r="AM42" s="395"/>
      <c r="AN42" s="395"/>
      <c r="AO42" s="395"/>
      <c r="AP42" s="395"/>
      <c r="AQ42" s="395"/>
    </row>
    <row r="43" spans="1:43" x14ac:dyDescent="0.2">
      <c r="A43" s="1309" t="s">
        <v>874</v>
      </c>
      <c r="B43" s="1310"/>
      <c r="C43" s="395"/>
      <c r="D43" s="395"/>
      <c r="E43" s="426"/>
      <c r="F43" s="426"/>
      <c r="G43" s="619"/>
      <c r="H43" s="621"/>
      <c r="I43" s="621"/>
      <c r="J43" s="665" t="s">
        <v>499</v>
      </c>
      <c r="K43" s="666"/>
      <c r="L43" s="667"/>
      <c r="M43" s="667"/>
      <c r="N43" s="667"/>
      <c r="O43" s="668"/>
      <c r="P43" s="1486" t="s">
        <v>956</v>
      </c>
      <c r="Q43" s="426"/>
      <c r="R43" s="426"/>
      <c r="S43" s="426"/>
      <c r="T43" s="426"/>
      <c r="U43" s="426"/>
      <c r="V43" s="426"/>
      <c r="W43" s="426"/>
      <c r="X43" s="426"/>
      <c r="Y43" s="426"/>
      <c r="Z43" s="426"/>
      <c r="AA43" s="426"/>
      <c r="AB43" s="426"/>
      <c r="AC43" s="619"/>
      <c r="AD43" s="619"/>
      <c r="AE43" s="619"/>
      <c r="AF43" s="619"/>
      <c r="AG43" s="619"/>
      <c r="AH43" s="436"/>
      <c r="AI43" s="654" t="s">
        <v>44</v>
      </c>
      <c r="AJ43" s="466" t="s">
        <v>44</v>
      </c>
      <c r="AK43" s="619" t="s">
        <v>40</v>
      </c>
      <c r="AL43" s="428"/>
      <c r="AM43" s="395"/>
      <c r="AN43" s="395"/>
      <c r="AO43" s="395"/>
      <c r="AP43" s="395"/>
      <c r="AQ43" s="395"/>
    </row>
    <row r="44" spans="1:43" x14ac:dyDescent="0.2">
      <c r="A44" s="1307" t="s">
        <v>884</v>
      </c>
      <c r="B44" s="1302"/>
      <c r="C44" s="395"/>
      <c r="D44" s="395"/>
      <c r="E44" s="426"/>
      <c r="F44" s="426"/>
      <c r="G44" s="426"/>
      <c r="H44" s="426"/>
      <c r="I44" s="395"/>
      <c r="J44" s="432" t="s">
        <v>376</v>
      </c>
      <c r="K44" s="426" t="s">
        <v>377</v>
      </c>
      <c r="L44" s="426"/>
      <c r="M44" s="426"/>
      <c r="N44" s="426"/>
      <c r="O44" s="428"/>
      <c r="P44" s="654" t="s">
        <v>617</v>
      </c>
      <c r="Q44" s="395"/>
      <c r="R44" s="395"/>
      <c r="S44" s="395"/>
      <c r="T44" s="395"/>
      <c r="U44" s="395"/>
      <c r="V44" s="395"/>
      <c r="W44" s="395"/>
      <c r="X44" s="395"/>
      <c r="Y44" s="395"/>
      <c r="Z44" s="395"/>
      <c r="AA44" s="395"/>
      <c r="AB44" s="395"/>
      <c r="AC44" s="395"/>
      <c r="AD44" s="395"/>
      <c r="AE44" s="395"/>
      <c r="AF44" s="395"/>
      <c r="AG44" s="395"/>
      <c r="AH44" s="629"/>
      <c r="AI44" s="654" t="s">
        <v>442</v>
      </c>
      <c r="AJ44" s="466" t="s">
        <v>442</v>
      </c>
      <c r="AK44" s="619" t="s">
        <v>40</v>
      </c>
      <c r="AL44" s="428"/>
      <c r="AM44" s="395"/>
      <c r="AN44" s="395"/>
      <c r="AO44" s="395"/>
      <c r="AP44" s="395"/>
      <c r="AQ44" s="395"/>
    </row>
    <row r="45" spans="1:43" x14ac:dyDescent="0.2">
      <c r="A45" s="1307" t="s">
        <v>885</v>
      </c>
      <c r="B45" s="649"/>
      <c r="C45" s="395"/>
      <c r="D45" s="395"/>
      <c r="E45" s="395"/>
      <c r="F45" s="426"/>
      <c r="G45" s="426"/>
      <c r="H45" s="426"/>
      <c r="I45" s="550"/>
      <c r="J45" s="432" t="s">
        <v>487</v>
      </c>
      <c r="K45" s="426" t="s">
        <v>420</v>
      </c>
      <c r="L45" s="672"/>
      <c r="M45" s="672"/>
      <c r="N45" s="672"/>
      <c r="O45" s="673"/>
      <c r="P45" s="654" t="s">
        <v>88</v>
      </c>
      <c r="Q45" s="395"/>
      <c r="R45" s="395"/>
      <c r="S45" s="395"/>
      <c r="T45" s="395"/>
      <c r="U45" s="395"/>
      <c r="V45" s="395"/>
      <c r="W45" s="395"/>
      <c r="X45" s="395"/>
      <c r="Y45" s="395"/>
      <c r="Z45" s="395"/>
      <c r="AA45" s="395"/>
      <c r="AB45" s="395"/>
      <c r="AC45" s="395"/>
      <c r="AD45" s="395"/>
      <c r="AE45" s="395"/>
      <c r="AF45" s="395"/>
      <c r="AG45" s="395"/>
      <c r="AH45" s="629"/>
      <c r="AI45" s="654" t="s">
        <v>845</v>
      </c>
      <c r="AJ45" s="466" t="s">
        <v>845</v>
      </c>
      <c r="AK45" s="619" t="s">
        <v>25</v>
      </c>
      <c r="AL45" s="428" t="s">
        <v>432</v>
      </c>
      <c r="AM45" s="395"/>
      <c r="AN45" s="395"/>
      <c r="AO45" s="395"/>
      <c r="AP45" s="395"/>
      <c r="AQ45" s="395"/>
    </row>
    <row r="46" spans="1:43" x14ac:dyDescent="0.2">
      <c r="A46" s="1307" t="s">
        <v>886</v>
      </c>
      <c r="B46" s="649"/>
      <c r="C46" s="395"/>
      <c r="D46" s="395"/>
      <c r="E46" s="395"/>
      <c r="F46" s="426"/>
      <c r="G46" s="426"/>
      <c r="H46" s="438"/>
      <c r="I46" s="395"/>
      <c r="J46" s="432" t="s">
        <v>488</v>
      </c>
      <c r="K46" s="426" t="s">
        <v>237</v>
      </c>
      <c r="L46" s="472"/>
      <c r="M46" s="472"/>
      <c r="N46" s="472"/>
      <c r="O46" s="674"/>
      <c r="P46" s="654" t="s">
        <v>216</v>
      </c>
      <c r="Q46" s="675"/>
      <c r="R46" s="395"/>
      <c r="S46" s="395"/>
      <c r="T46" s="395"/>
      <c r="U46" s="395"/>
      <c r="V46" s="550"/>
      <c r="W46" s="550"/>
      <c r="X46" s="550"/>
      <c r="Y46" s="550"/>
      <c r="Z46" s="395"/>
      <c r="AA46" s="395"/>
      <c r="AB46" s="395"/>
      <c r="AC46" s="395"/>
      <c r="AD46" s="395"/>
      <c r="AE46" s="395"/>
      <c r="AF46" s="395"/>
      <c r="AG46" s="395"/>
      <c r="AH46" s="629"/>
      <c r="AI46" s="654" t="s">
        <v>437</v>
      </c>
      <c r="AJ46" s="466" t="s">
        <v>439</v>
      </c>
      <c r="AK46" s="619" t="s">
        <v>40</v>
      </c>
      <c r="AL46" s="428"/>
      <c r="AM46" s="395"/>
      <c r="AN46" s="395"/>
      <c r="AO46" s="395"/>
      <c r="AP46" s="395"/>
      <c r="AQ46" s="395"/>
    </row>
    <row r="47" spans="1:43" x14ac:dyDescent="0.2">
      <c r="A47" s="1307" t="s">
        <v>887</v>
      </c>
      <c r="B47" s="649"/>
      <c r="C47" s="395"/>
      <c r="D47" s="395"/>
      <c r="E47" s="395"/>
      <c r="F47" s="395"/>
      <c r="G47" s="395"/>
      <c r="H47" s="395"/>
      <c r="I47" s="395"/>
      <c r="J47" s="432" t="s">
        <v>489</v>
      </c>
      <c r="K47" s="426" t="s">
        <v>421</v>
      </c>
      <c r="L47" s="426"/>
      <c r="M47" s="426"/>
      <c r="N47" s="426"/>
      <c r="O47" s="428"/>
      <c r="P47" s="654" t="s">
        <v>217</v>
      </c>
      <c r="Q47" s="676"/>
      <c r="R47" s="629"/>
      <c r="S47" s="395"/>
      <c r="T47" s="629"/>
      <c r="U47" s="629"/>
      <c r="V47" s="395"/>
      <c r="W47" s="395"/>
      <c r="X47" s="677"/>
      <c r="Y47" s="677"/>
      <c r="Z47" s="395"/>
      <c r="AA47" s="629"/>
      <c r="AB47" s="629"/>
      <c r="AC47" s="629"/>
      <c r="AD47" s="629"/>
      <c r="AE47" s="629"/>
      <c r="AF47" s="629"/>
      <c r="AG47" s="629"/>
      <c r="AH47" s="629"/>
      <c r="AI47" s="654" t="s">
        <v>45</v>
      </c>
      <c r="AJ47" s="466" t="s">
        <v>441</v>
      </c>
      <c r="AK47" s="619" t="s">
        <v>40</v>
      </c>
      <c r="AL47" s="428"/>
      <c r="AM47" s="395"/>
      <c r="AN47" s="395"/>
      <c r="AO47" s="395"/>
      <c r="AP47" s="395"/>
      <c r="AQ47" s="395"/>
    </row>
    <row r="48" spans="1:43" x14ac:dyDescent="0.2">
      <c r="A48" s="1307" t="s">
        <v>888</v>
      </c>
      <c r="B48" s="649"/>
      <c r="C48" s="395"/>
      <c r="D48" s="395"/>
      <c r="E48" s="395"/>
      <c r="F48" s="395"/>
      <c r="G48" s="395"/>
      <c r="H48" s="395"/>
      <c r="I48" s="395"/>
      <c r="J48" s="432" t="s">
        <v>88</v>
      </c>
      <c r="K48" s="426" t="s">
        <v>58</v>
      </c>
      <c r="L48" s="426"/>
      <c r="M48" s="426"/>
      <c r="N48" s="426"/>
      <c r="O48" s="428"/>
      <c r="P48" s="654" t="s">
        <v>766</v>
      </c>
      <c r="Q48" s="550"/>
      <c r="R48" s="395"/>
      <c r="S48" s="395"/>
      <c r="T48" s="629"/>
      <c r="U48" s="629"/>
      <c r="V48" s="395"/>
      <c r="W48" s="395"/>
      <c r="X48" s="550"/>
      <c r="Y48" s="550"/>
      <c r="Z48" s="395"/>
      <c r="AA48" s="395"/>
      <c r="AB48" s="395"/>
      <c r="AC48" s="395"/>
      <c r="AD48" s="395"/>
      <c r="AE48" s="395"/>
      <c r="AF48" s="395"/>
      <c r="AG48" s="395"/>
      <c r="AH48" s="629"/>
      <c r="AI48" s="669" t="s">
        <v>486</v>
      </c>
      <c r="AJ48" s="466" t="s">
        <v>437</v>
      </c>
      <c r="AK48" s="619" t="s">
        <v>40</v>
      </c>
      <c r="AL48" s="428"/>
      <c r="AM48" s="395"/>
      <c r="AN48" s="395"/>
      <c r="AO48" s="395"/>
      <c r="AP48" s="395"/>
      <c r="AQ48" s="395"/>
    </row>
    <row r="49" spans="1:43" x14ac:dyDescent="0.2">
      <c r="A49" s="1307" t="s">
        <v>879</v>
      </c>
      <c r="B49" s="649"/>
      <c r="C49" s="395"/>
      <c r="D49" s="395"/>
      <c r="E49" s="395"/>
      <c r="F49" s="395"/>
      <c r="G49" s="395"/>
      <c r="H49" s="395"/>
      <c r="I49" s="395"/>
      <c r="J49" s="432"/>
      <c r="K49" s="426"/>
      <c r="L49" s="426"/>
      <c r="M49" s="426"/>
      <c r="N49" s="426"/>
      <c r="O49" s="428"/>
      <c r="P49" s="654" t="s">
        <v>376</v>
      </c>
      <c r="Q49" s="678"/>
      <c r="R49" s="395"/>
      <c r="S49" s="395"/>
      <c r="T49" s="629"/>
      <c r="U49" s="629"/>
      <c r="V49" s="395"/>
      <c r="W49" s="395"/>
      <c r="X49" s="395"/>
      <c r="Y49" s="395"/>
      <c r="Z49" s="395"/>
      <c r="AA49" s="395"/>
      <c r="AB49" s="395"/>
      <c r="AC49" s="395"/>
      <c r="AD49" s="395"/>
      <c r="AE49" s="395"/>
      <c r="AF49" s="395"/>
      <c r="AG49" s="395"/>
      <c r="AH49" s="629"/>
      <c r="AI49" s="654" t="s">
        <v>418</v>
      </c>
      <c r="AJ49" s="466" t="s">
        <v>45</v>
      </c>
      <c r="AK49" s="619" t="s">
        <v>40</v>
      </c>
      <c r="AL49" s="428"/>
      <c r="AM49" s="395"/>
      <c r="AN49" s="395"/>
      <c r="AO49" s="395"/>
      <c r="AP49" s="395"/>
      <c r="AQ49" s="395"/>
    </row>
    <row r="50" spans="1:43" x14ac:dyDescent="0.2">
      <c r="A50" s="1307" t="s">
        <v>880</v>
      </c>
      <c r="B50" s="649"/>
      <c r="C50" s="395"/>
      <c r="D50" s="395"/>
      <c r="E50" s="395"/>
      <c r="F50" s="395"/>
      <c r="G50" s="395"/>
      <c r="H50" s="395"/>
      <c r="I50" s="395"/>
      <c r="J50" s="432" t="s">
        <v>617</v>
      </c>
      <c r="K50" s="426" t="s">
        <v>1078</v>
      </c>
      <c r="L50" s="426"/>
      <c r="M50" s="426"/>
      <c r="N50" s="426"/>
      <c r="O50" s="428"/>
      <c r="P50" s="649" t="s">
        <v>368</v>
      </c>
      <c r="Q50" s="678"/>
      <c r="R50" s="395"/>
      <c r="S50" s="395"/>
      <c r="T50" s="629"/>
      <c r="U50" s="629"/>
      <c r="V50" s="395"/>
      <c r="W50" s="395"/>
      <c r="X50" s="395"/>
      <c r="Y50" s="395"/>
      <c r="Z50" s="395"/>
      <c r="AA50" s="395"/>
      <c r="AB50" s="395"/>
      <c r="AC50" s="395"/>
      <c r="AD50" s="395"/>
      <c r="AE50" s="395"/>
      <c r="AF50" s="395"/>
      <c r="AG50" s="395"/>
      <c r="AH50" s="629"/>
      <c r="AI50" s="654"/>
      <c r="AJ50" s="658" t="s">
        <v>486</v>
      </c>
      <c r="AK50" s="619" t="s">
        <v>40</v>
      </c>
      <c r="AL50" s="428"/>
      <c r="AM50" s="395"/>
      <c r="AN50" s="395"/>
      <c r="AO50" s="395"/>
      <c r="AP50" s="395"/>
      <c r="AQ50" s="395"/>
    </row>
    <row r="51" spans="1:43" x14ac:dyDescent="0.2">
      <c r="A51" s="1307" t="s">
        <v>881</v>
      </c>
      <c r="B51" s="649"/>
      <c r="C51" s="395"/>
      <c r="D51" s="395"/>
      <c r="E51" s="426"/>
      <c r="F51" s="395"/>
      <c r="G51" s="395"/>
      <c r="H51" s="395"/>
      <c r="I51" s="395"/>
      <c r="J51" s="432" t="s">
        <v>368</v>
      </c>
      <c r="K51" s="426" t="s">
        <v>1069</v>
      </c>
      <c r="L51" s="426"/>
      <c r="M51" s="426"/>
      <c r="N51" s="426"/>
      <c r="O51" s="428"/>
      <c r="P51" s="656"/>
      <c r="Q51" s="395"/>
      <c r="R51" s="395"/>
      <c r="S51" s="395"/>
      <c r="T51" s="629"/>
      <c r="U51" s="629"/>
      <c r="V51" s="395"/>
      <c r="W51" s="395"/>
      <c r="X51" s="395"/>
      <c r="Y51" s="395"/>
      <c r="Z51" s="395"/>
      <c r="AA51" s="395"/>
      <c r="AB51" s="395"/>
      <c r="AC51" s="395"/>
      <c r="AD51" s="395"/>
      <c r="AE51" s="395"/>
      <c r="AF51" s="395"/>
      <c r="AG51" s="395"/>
      <c r="AH51" s="629"/>
      <c r="AI51" s="1304"/>
      <c r="AJ51" s="1305"/>
      <c r="AK51" s="1092"/>
      <c r="AL51" s="1306"/>
      <c r="AM51" s="395"/>
      <c r="AN51" s="395"/>
      <c r="AO51" s="395"/>
      <c r="AP51" s="395"/>
      <c r="AQ51" s="395"/>
    </row>
    <row r="52" spans="1:43" x14ac:dyDescent="0.2">
      <c r="A52" s="1307" t="s">
        <v>882</v>
      </c>
      <c r="B52" s="649"/>
      <c r="C52" s="395"/>
      <c r="D52" s="395"/>
      <c r="E52" s="395"/>
      <c r="F52" s="395"/>
      <c r="G52" s="395"/>
      <c r="H52" s="395"/>
      <c r="I52" s="395"/>
      <c r="J52" s="432" t="s">
        <v>216</v>
      </c>
      <c r="K52" s="426" t="s">
        <v>52</v>
      </c>
      <c r="L52" s="426"/>
      <c r="M52" s="426"/>
      <c r="N52" s="426"/>
      <c r="O52" s="428"/>
      <c r="P52" s="395"/>
      <c r="Q52" s="395"/>
      <c r="R52" s="395"/>
      <c r="S52" s="395"/>
      <c r="T52" s="629"/>
      <c r="U52" s="629"/>
      <c r="V52" s="395"/>
      <c r="W52" s="395"/>
      <c r="X52" s="395"/>
      <c r="Y52" s="395"/>
      <c r="Z52" s="395"/>
      <c r="AA52" s="395"/>
      <c r="AB52" s="395"/>
      <c r="AC52" s="395"/>
      <c r="AD52" s="395"/>
      <c r="AE52" s="395"/>
      <c r="AF52" s="395"/>
      <c r="AG52" s="395"/>
      <c r="AH52" s="629"/>
      <c r="AI52" s="1304"/>
      <c r="AJ52" s="1305"/>
      <c r="AK52" s="1092"/>
      <c r="AL52" s="1306"/>
      <c r="AM52" s="395"/>
      <c r="AN52" s="395"/>
      <c r="AO52" s="395"/>
      <c r="AP52" s="395"/>
      <c r="AQ52" s="395"/>
    </row>
    <row r="53" spans="1:43" x14ac:dyDescent="0.2">
      <c r="A53" s="1308" t="s">
        <v>883</v>
      </c>
      <c r="B53" s="656"/>
      <c r="C53" s="395"/>
      <c r="D53" s="395"/>
      <c r="E53" s="395"/>
      <c r="F53" s="395"/>
      <c r="G53" s="395"/>
      <c r="H53" s="395"/>
      <c r="I53" s="395"/>
      <c r="J53" s="432" t="s">
        <v>217</v>
      </c>
      <c r="K53" s="395" t="s">
        <v>53</v>
      </c>
      <c r="L53" s="395"/>
      <c r="M53" s="395"/>
      <c r="N53" s="395"/>
      <c r="O53" s="395"/>
      <c r="P53" s="395"/>
      <c r="Q53" s="395"/>
      <c r="R53" s="395"/>
      <c r="S53" s="395"/>
      <c r="T53" s="629"/>
      <c r="U53" s="629"/>
      <c r="V53" s="395"/>
      <c r="W53" s="395"/>
      <c r="X53" s="395"/>
      <c r="Y53" s="395"/>
      <c r="Z53" s="395"/>
      <c r="AA53" s="395"/>
      <c r="AB53" s="395"/>
      <c r="AC53" s="395"/>
      <c r="AD53" s="395"/>
      <c r="AE53" s="395"/>
      <c r="AF53" s="395"/>
      <c r="AG53" s="395"/>
      <c r="AH53" s="395"/>
      <c r="AI53" s="649"/>
      <c r="AJ53" s="432"/>
      <c r="AK53" s="1291" t="s">
        <v>498</v>
      </c>
      <c r="AL53" s="679"/>
      <c r="AM53" s="395"/>
      <c r="AN53" s="395"/>
      <c r="AO53" s="395"/>
      <c r="AP53" s="395"/>
      <c r="AQ53" s="395"/>
    </row>
    <row r="54" spans="1:43" x14ac:dyDescent="0.2">
      <c r="A54" s="395"/>
      <c r="B54" s="426"/>
      <c r="C54" s="395"/>
      <c r="D54" s="395"/>
      <c r="E54" s="395"/>
      <c r="F54" s="395"/>
      <c r="G54" s="395"/>
      <c r="H54" s="395"/>
      <c r="I54" s="395"/>
      <c r="J54" s="432" t="s">
        <v>766</v>
      </c>
      <c r="K54" s="426" t="s">
        <v>767</v>
      </c>
      <c r="L54" s="426"/>
      <c r="M54" s="426"/>
      <c r="N54" s="426"/>
      <c r="O54" s="428"/>
      <c r="P54" s="395"/>
      <c r="Q54" s="395"/>
      <c r="R54" s="395"/>
      <c r="S54" s="395"/>
      <c r="T54" s="629"/>
      <c r="U54" s="629"/>
      <c r="V54" s="395"/>
      <c r="W54" s="395"/>
      <c r="X54" s="395"/>
      <c r="Y54" s="395"/>
      <c r="Z54" s="395"/>
      <c r="AA54" s="395"/>
      <c r="AB54" s="395"/>
      <c r="AC54" s="395"/>
      <c r="AD54" s="395"/>
      <c r="AE54" s="395"/>
      <c r="AF54" s="395"/>
      <c r="AG54" s="395"/>
      <c r="AH54" s="395"/>
      <c r="AI54" s="649"/>
      <c r="AJ54" s="425" t="s">
        <v>562</v>
      </c>
      <c r="AK54" s="529" t="str">
        <f>'01_ALGEMEEN'!D90</f>
        <v>prefab schil met I-profielen</v>
      </c>
      <c r="AL54" s="428"/>
      <c r="AM54" s="395"/>
      <c r="AN54" s="395"/>
      <c r="AO54" s="395"/>
      <c r="AP54" s="395"/>
      <c r="AQ54" s="395"/>
    </row>
    <row r="55" spans="1:43" x14ac:dyDescent="0.2">
      <c r="A55" s="395"/>
      <c r="B55" s="426"/>
      <c r="C55" s="395"/>
      <c r="D55" s="395"/>
      <c r="E55" s="395"/>
      <c r="F55" s="395"/>
      <c r="G55" s="395"/>
      <c r="H55" s="395"/>
      <c r="I55" s="395"/>
      <c r="J55" s="454" t="s">
        <v>365</v>
      </c>
      <c r="K55" s="455" t="s">
        <v>368</v>
      </c>
      <c r="L55" s="455"/>
      <c r="M55" s="455"/>
      <c r="N55" s="455"/>
      <c r="O55" s="492"/>
      <c r="P55" s="395"/>
      <c r="Q55" s="395"/>
      <c r="R55" s="395"/>
      <c r="S55" s="395"/>
      <c r="T55" s="629"/>
      <c r="U55" s="629"/>
      <c r="V55" s="395"/>
      <c r="W55" s="395"/>
      <c r="X55" s="395"/>
      <c r="Y55" s="395"/>
      <c r="Z55" s="395"/>
      <c r="AA55" s="395"/>
      <c r="AB55" s="395"/>
      <c r="AC55" s="395"/>
      <c r="AD55" s="395"/>
      <c r="AE55" s="395"/>
      <c r="AF55" s="395"/>
      <c r="AG55" s="395"/>
      <c r="AH55" s="395"/>
      <c r="AI55" s="656"/>
      <c r="AJ55" s="490" t="s">
        <v>494</v>
      </c>
      <c r="AK55" s="680" t="str">
        <f>VLOOKUP(AK54,AJ35:AK50,2,0)</f>
        <v>ja</v>
      </c>
      <c r="AL55" s="492"/>
      <c r="AM55" s="395"/>
      <c r="AN55" s="395"/>
      <c r="AO55" s="395"/>
      <c r="AP55" s="395"/>
      <c r="AQ55" s="395"/>
    </row>
    <row r="56" spans="1:43" x14ac:dyDescent="0.2">
      <c r="A56" s="395"/>
      <c r="B56" s="395"/>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629"/>
      <c r="AE56" s="629"/>
      <c r="AF56" s="629"/>
      <c r="AG56" s="629"/>
      <c r="AH56" s="395"/>
      <c r="AI56" s="649"/>
      <c r="AJ56" s="425" t="s">
        <v>563</v>
      </c>
      <c r="AK56" s="529" t="str">
        <f>'01_ALGEMEEN'!D135</f>
        <v>prefab schil met I-profielen</v>
      </c>
      <c r="AL56" s="428"/>
      <c r="AM56" s="395"/>
      <c r="AN56" s="395"/>
      <c r="AO56" s="395"/>
      <c r="AP56" s="395"/>
      <c r="AQ56" s="395"/>
    </row>
    <row r="57" spans="1:43" x14ac:dyDescent="0.2">
      <c r="A57" s="395"/>
      <c r="B57" s="395"/>
      <c r="C57" s="395"/>
      <c r="D57" s="395"/>
      <c r="E57" s="395"/>
      <c r="F57" s="395"/>
      <c r="G57" s="433"/>
      <c r="H57" s="678"/>
      <c r="I57" s="395"/>
      <c r="J57" s="678"/>
      <c r="K57" s="395"/>
      <c r="L57" s="395"/>
      <c r="M57" s="395"/>
      <c r="N57" s="395"/>
      <c r="O57" s="678"/>
      <c r="P57" s="678"/>
      <c r="Q57" s="395"/>
      <c r="R57" s="395"/>
      <c r="S57" s="395"/>
      <c r="T57" s="395"/>
      <c r="U57" s="395"/>
      <c r="V57" s="395"/>
      <c r="W57" s="395"/>
      <c r="X57" s="395"/>
      <c r="Y57" s="395"/>
      <c r="Z57" s="395"/>
      <c r="AA57" s="395"/>
      <c r="AB57" s="395"/>
      <c r="AC57" s="678"/>
      <c r="AD57" s="395"/>
      <c r="AE57" s="395"/>
      <c r="AF57" s="395"/>
      <c r="AG57" s="395"/>
      <c r="AH57" s="395"/>
      <c r="AI57" s="656"/>
      <c r="AJ57" s="490" t="s">
        <v>494</v>
      </c>
      <c r="AK57" s="680" t="str">
        <f>VLOOKUP(AK56,AJ35:AK50,2,0)</f>
        <v>ja</v>
      </c>
      <c r="AL57" s="492"/>
      <c r="AM57" s="395"/>
      <c r="AN57" s="395"/>
      <c r="AO57" s="395"/>
      <c r="AP57" s="395"/>
      <c r="AQ57" s="395"/>
    </row>
    <row r="58" spans="1:43" x14ac:dyDescent="0.2">
      <c r="A58" s="395"/>
      <c r="B58" s="395"/>
      <c r="C58" s="395"/>
      <c r="D58" s="395"/>
      <c r="E58" s="395"/>
      <c r="F58" s="395"/>
      <c r="G58" s="433"/>
      <c r="H58" s="678"/>
      <c r="I58" s="395"/>
      <c r="J58" s="678"/>
      <c r="K58" s="395"/>
      <c r="L58" s="395"/>
      <c r="M58" s="395"/>
      <c r="N58" s="395"/>
      <c r="O58" s="678"/>
      <c r="P58" s="678"/>
      <c r="Q58" s="395"/>
      <c r="R58" s="395"/>
      <c r="S58" s="395"/>
      <c r="T58" s="395"/>
      <c r="U58" s="395"/>
      <c r="V58" s="395"/>
      <c r="W58" s="395"/>
      <c r="X58" s="395"/>
      <c r="Y58" s="395"/>
      <c r="Z58" s="395"/>
      <c r="AA58" s="395"/>
      <c r="AB58" s="395"/>
      <c r="AC58" s="678"/>
      <c r="AD58" s="395"/>
      <c r="AE58" s="395"/>
      <c r="AF58" s="395"/>
      <c r="AG58" s="395"/>
      <c r="AH58" s="395"/>
      <c r="AI58" s="395"/>
      <c r="AJ58" s="395"/>
      <c r="AK58" s="395"/>
      <c r="AL58" s="395"/>
      <c r="AM58" s="395"/>
      <c r="AN58" s="395"/>
      <c r="AO58" s="395"/>
      <c r="AP58" s="395"/>
      <c r="AQ58" s="395"/>
    </row>
    <row r="59" spans="1:43" x14ac:dyDescent="0.2">
      <c r="A59" s="395"/>
      <c r="B59" s="395"/>
      <c r="C59" s="395"/>
      <c r="D59" s="395"/>
      <c r="E59" s="395"/>
      <c r="F59" s="433"/>
      <c r="G59" s="678"/>
      <c r="H59" s="395"/>
      <c r="I59" s="678"/>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row>
    <row r="60" spans="1:43" x14ac:dyDescent="0.2">
      <c r="A60" s="395"/>
      <c r="B60" s="395"/>
      <c r="C60" s="395"/>
      <c r="D60" s="395"/>
      <c r="E60" s="395"/>
      <c r="F60" s="433"/>
      <c r="G60" s="678"/>
      <c r="H60" s="395"/>
      <c r="I60" s="678"/>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row>
    <row r="61" spans="1:43" x14ac:dyDescent="0.2">
      <c r="A61" s="395"/>
      <c r="B61" s="395"/>
      <c r="C61" s="395"/>
      <c r="D61" s="395"/>
      <c r="E61" s="395"/>
      <c r="F61" s="433"/>
      <c r="G61" s="678"/>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550"/>
      <c r="AF61" s="550"/>
      <c r="AG61" s="550"/>
      <c r="AH61" s="395"/>
      <c r="AI61" s="395"/>
      <c r="AJ61" s="395"/>
      <c r="AK61" s="395"/>
      <c r="AL61" s="395"/>
      <c r="AM61" s="395"/>
      <c r="AN61" s="395"/>
      <c r="AO61" s="395"/>
      <c r="AP61" s="395"/>
      <c r="AQ61" s="395"/>
    </row>
    <row r="62" spans="1:43" x14ac:dyDescent="0.2">
      <c r="A62" s="395"/>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row>
    <row r="63" spans="1:43" x14ac:dyDescent="0.2">
      <c r="A63" s="395"/>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row>
    <row r="64" spans="1:43" x14ac:dyDescent="0.2">
      <c r="A64" s="395"/>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row>
    <row r="65" spans="1:43" x14ac:dyDescent="0.2">
      <c r="A65" s="395"/>
      <c r="B65" s="395"/>
      <c r="C65" s="395"/>
      <c r="D65" s="395"/>
      <c r="E65" s="395"/>
      <c r="F65" s="395"/>
      <c r="G65" s="395"/>
      <c r="H65" s="395"/>
      <c r="I65" s="395"/>
      <c r="J65" s="395"/>
      <c r="K65" s="395"/>
      <c r="L65" s="395"/>
      <c r="M65" s="395"/>
      <c r="N65" s="395"/>
      <c r="O65" s="395"/>
      <c r="P65" s="395"/>
      <c r="Q65" s="395"/>
      <c r="R65" s="395"/>
      <c r="S65" s="550"/>
      <c r="T65" s="550"/>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row>
    <row r="66" spans="1:43" x14ac:dyDescent="0.2">
      <c r="A66" s="395"/>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row>
    <row r="67" spans="1:43" x14ac:dyDescent="0.2">
      <c r="A67" s="395"/>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8</vt:i4>
      </vt:variant>
    </vt:vector>
  </HeadingPairs>
  <TitlesOfParts>
    <vt:vector size="18" baseType="lpstr">
      <vt:lpstr>01_ALGEMEEN</vt:lpstr>
      <vt:lpstr>02_BG VLOER</vt:lpstr>
      <vt:lpstr>03_VERD VLOEREN</vt:lpstr>
      <vt:lpstr>04_LIGGERS</vt:lpstr>
      <vt:lpstr>05_VERT DRAAGSTRUCTUUR</vt:lpstr>
      <vt:lpstr>06_STABILITEIT</vt:lpstr>
      <vt:lpstr>07_FUNDERING</vt:lpstr>
      <vt:lpstr>08_NMD</vt:lpstr>
      <vt:lpstr>KEUZELIJSTEN</vt:lpstr>
      <vt:lpstr>AFBEELDINGEN</vt:lpstr>
      <vt:lpstr>'01_ALGEMEEN'!Afdrukbereik</vt:lpstr>
      <vt:lpstr>draagkracht</vt:lpstr>
      <vt:lpstr>geendraagkracht</vt:lpstr>
      <vt:lpstr>ihwgbeton</vt:lpstr>
      <vt:lpstr>kalkzandsteen</vt:lpstr>
      <vt:lpstr>osgroep2</vt:lpstr>
      <vt:lpstr>prefabbeton</vt:lpstr>
      <vt:lpstr>richting</vt:lpstr>
    </vt:vector>
  </TitlesOfParts>
  <Company>IMD Raadgevende ingenieurs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imd</dc:creator>
  <cp:lastModifiedBy>Erik Alsema</cp:lastModifiedBy>
  <cp:lastPrinted>2015-01-06T10:20:37Z</cp:lastPrinted>
  <dcterms:created xsi:type="dcterms:W3CDTF">2011-01-19T09:37:43Z</dcterms:created>
  <dcterms:modified xsi:type="dcterms:W3CDTF">2016-06-07T13:15:57Z</dcterms:modified>
</cp:coreProperties>
</file>